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trlProps/ctrlProp1.xml" ContentType="application/vnd.ms-excel.controlproperties+xml"/>
  <Override PartName="/xl/drawings/drawing3.xml" ContentType="application/vnd.openxmlformats-officedocument.drawing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googledrive\2. semestr\SImluaceSystem\"/>
    </mc:Choice>
  </mc:AlternateContent>
  <bookViews>
    <workbookView xWindow="0" yWindow="0" windowWidth="28800" windowHeight="12435" tabRatio="691" firstSheet="1" activeTab="4"/>
  </bookViews>
  <sheets>
    <sheet name="00 Základní Info" sheetId="6" r:id="rId1"/>
    <sheet name="01 Souhrn" sheetId="12" r:id="rId2"/>
    <sheet name="02 MC výsledku" sheetId="9" r:id="rId3"/>
    <sheet name="03 Logika" sheetId="1" r:id="rId4"/>
    <sheet name="04 MC Kumulace nájmu" sheetId="5" r:id="rId5"/>
    <sheet name="05 MC Gener. nájmu" sheetId="4" r:id="rId6"/>
    <sheet name="06 MC Gener. mzdy" sheetId="2" r:id="rId7"/>
    <sheet name="07 Zdroje" sheetId="3" r:id="rId8"/>
  </sheets>
  <definedNames>
    <definedName name="random">'03 Logika'!$L$3</definedName>
    <definedName name="thousand">'03 Logika'!$I$3</definedName>
    <definedName name="Tisic">'03 Logika'!$G$6</definedName>
  </definedNames>
  <calcPr calcId="152511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" i="5" l="1"/>
  <c r="D19" i="12" l="1"/>
  <c r="D18" i="12"/>
  <c r="C7" i="6"/>
  <c r="A3" i="4"/>
  <c r="A2" i="2"/>
  <c r="J12" i="1"/>
  <c r="M101" i="9"/>
  <c r="M100" i="9"/>
  <c r="F11" i="1"/>
  <c r="F10" i="1"/>
  <c r="F9" i="1"/>
  <c r="F8" i="1"/>
  <c r="I100" i="9"/>
  <c r="G100" i="9"/>
  <c r="E100" i="9"/>
  <c r="H14" i="12" s="1"/>
  <c r="H13" i="12" l="1"/>
  <c r="C6" i="6" l="1"/>
  <c r="D6" i="6"/>
  <c r="E6" i="6"/>
  <c r="F6" i="6"/>
  <c r="F8" i="6" l="1"/>
  <c r="F9" i="6" s="1"/>
  <c r="F10" i="6" s="1"/>
  <c r="E8" i="6"/>
  <c r="E9" i="6" s="1"/>
  <c r="E10" i="6" s="1"/>
  <c r="D8" i="6"/>
  <c r="D9" i="6" s="1"/>
  <c r="D10" i="6" s="1"/>
  <c r="C8" i="6"/>
  <c r="C9" i="6" s="1"/>
  <c r="C10" i="6" s="1"/>
  <c r="F7" i="6"/>
  <c r="E7" i="6"/>
  <c r="D7" i="6"/>
  <c r="C8" i="1"/>
  <c r="D8" i="1"/>
  <c r="C9" i="1"/>
  <c r="D9" i="1"/>
  <c r="C10" i="1"/>
  <c r="D10" i="1"/>
  <c r="C11" i="1"/>
  <c r="D11" i="1"/>
  <c r="M9" i="1"/>
  <c r="M11" i="1" s="1"/>
  <c r="L9" i="1"/>
  <c r="L10" i="1" s="1"/>
  <c r="K9" i="1"/>
  <c r="K10" i="1" s="1"/>
  <c r="J9" i="1"/>
  <c r="J10" i="1" s="1"/>
  <c r="G5" i="12" l="1"/>
  <c r="H5" i="12"/>
  <c r="F5" i="12"/>
  <c r="D12" i="6"/>
  <c r="D13" i="6" s="1"/>
  <c r="E10" i="1"/>
  <c r="G10" i="1" s="1"/>
  <c r="E11" i="1"/>
  <c r="G11" i="1" s="1"/>
  <c r="E9" i="1"/>
  <c r="G9" i="1" s="1"/>
  <c r="E8" i="1"/>
  <c r="G8" i="1" s="1"/>
  <c r="M10" i="1"/>
  <c r="M12" i="1" s="1"/>
  <c r="K11" i="1"/>
  <c r="K12" i="1" s="1"/>
  <c r="J11" i="1"/>
  <c r="L11" i="1"/>
  <c r="L12" i="1" s="1"/>
  <c r="F21" i="1"/>
  <c r="E21" i="1"/>
  <c r="D21" i="1"/>
  <c r="C21" i="1"/>
  <c r="H5" i="5"/>
  <c r="H6" i="5" s="1"/>
  <c r="H7" i="5" s="1"/>
  <c r="H8" i="5" s="1"/>
  <c r="H9" i="5" s="1"/>
  <c r="H10" i="5" s="1"/>
  <c r="H11" i="5" s="1"/>
  <c r="H12" i="5" s="1"/>
  <c r="H13" i="5" s="1"/>
  <c r="H14" i="5" s="1"/>
  <c r="H15" i="5" s="1"/>
  <c r="H16" i="5" s="1"/>
  <c r="H17" i="5" s="1"/>
  <c r="H18" i="5" s="1"/>
  <c r="H19" i="5" s="1"/>
  <c r="H20" i="5" s="1"/>
  <c r="H21" i="5" s="1"/>
  <c r="H22" i="5" s="1"/>
  <c r="H23" i="5" s="1"/>
  <c r="H24" i="5" s="1"/>
  <c r="F5" i="5"/>
  <c r="F6" i="5" s="1"/>
  <c r="F7" i="5" s="1"/>
  <c r="F8" i="5" s="1"/>
  <c r="F9" i="5" s="1"/>
  <c r="F10" i="5" s="1"/>
  <c r="F11" i="5" s="1"/>
  <c r="F12" i="5" s="1"/>
  <c r="F13" i="5" s="1"/>
  <c r="F14" i="5" s="1"/>
  <c r="F15" i="5" s="1"/>
  <c r="F16" i="5" s="1"/>
  <c r="F17" i="5" s="1"/>
  <c r="F18" i="5" s="1"/>
  <c r="F19" i="5" s="1"/>
  <c r="F20" i="5" s="1"/>
  <c r="F21" i="5" s="1"/>
  <c r="F22" i="5" s="1"/>
  <c r="F23" i="5" s="1"/>
  <c r="F24" i="5" s="1"/>
  <c r="D5" i="5"/>
  <c r="D6" i="5" s="1"/>
  <c r="D7" i="5" s="1"/>
  <c r="D8" i="5" s="1"/>
  <c r="D9" i="5" s="1"/>
  <c r="D10" i="5" s="1"/>
  <c r="D11" i="5" s="1"/>
  <c r="D12" i="5" s="1"/>
  <c r="D13" i="5" s="1"/>
  <c r="D14" i="5" s="1"/>
  <c r="D15" i="5" s="1"/>
  <c r="D16" i="5" s="1"/>
  <c r="D17" i="5" s="1"/>
  <c r="D18" i="5" s="1"/>
  <c r="D19" i="5" s="1"/>
  <c r="D20" i="5" s="1"/>
  <c r="D21" i="5" s="1"/>
  <c r="D22" i="5" s="1"/>
  <c r="D23" i="5" s="1"/>
  <c r="D24" i="5" s="1"/>
  <c r="B5" i="5"/>
  <c r="B6" i="5" s="1"/>
  <c r="B7" i="5" s="1"/>
  <c r="B8" i="5" s="1"/>
  <c r="B9" i="5" s="1"/>
  <c r="B10" i="5" s="1"/>
  <c r="B11" i="5" s="1"/>
  <c r="B12" i="5" s="1"/>
  <c r="B13" i="5" s="1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24" i="5" s="1"/>
  <c r="L3" i="1"/>
  <c r="G21" i="1" l="1"/>
  <c r="F12" i="12" s="1"/>
  <c r="B3" i="4"/>
  <c r="B2" i="2"/>
  <c r="E12" i="6"/>
  <c r="E13" i="6" s="1"/>
  <c r="F12" i="6"/>
  <c r="F13" i="6" s="1"/>
  <c r="E5" i="12"/>
  <c r="C12" i="6"/>
  <c r="C13" i="6" s="1"/>
  <c r="L15" i="1"/>
  <c r="L14" i="1"/>
  <c r="J15" i="1"/>
  <c r="J14" i="1"/>
  <c r="M15" i="1"/>
  <c r="M14" i="1"/>
  <c r="K15" i="1"/>
  <c r="K14" i="1"/>
  <c r="I5" i="12" l="1"/>
  <c r="C30" i="1"/>
  <c r="H21" i="1"/>
  <c r="I21" i="1"/>
  <c r="J21" i="1" s="1"/>
  <c r="C22" i="1" l="1"/>
  <c r="D22" i="1"/>
  <c r="E22" i="1"/>
  <c r="F22" i="1"/>
  <c r="C23" i="1"/>
  <c r="D23" i="1"/>
  <c r="E23" i="1"/>
  <c r="G23" i="1" s="1"/>
  <c r="F23" i="1"/>
  <c r="F20" i="1"/>
  <c r="E20" i="1"/>
  <c r="D20" i="1"/>
  <c r="C20" i="1"/>
  <c r="G20" i="1" l="1"/>
  <c r="H20" i="1" s="1"/>
  <c r="G22" i="1"/>
  <c r="I22" i="1" s="1"/>
  <c r="J22" i="1" s="1"/>
  <c r="I23" i="1"/>
  <c r="J23" i="1" s="1"/>
  <c r="J26" i="4"/>
  <c r="I26" i="4"/>
  <c r="H26" i="4"/>
  <c r="G26" i="4"/>
  <c r="F26" i="4"/>
  <c r="E26" i="4"/>
  <c r="D26" i="4"/>
  <c r="C26" i="4"/>
  <c r="J25" i="4"/>
  <c r="I25" i="4"/>
  <c r="H25" i="4"/>
  <c r="G25" i="4"/>
  <c r="F25" i="4"/>
  <c r="E25" i="4"/>
  <c r="D25" i="4"/>
  <c r="C25" i="4"/>
  <c r="J24" i="4"/>
  <c r="I24" i="4"/>
  <c r="H24" i="4"/>
  <c r="G24" i="4"/>
  <c r="F24" i="4"/>
  <c r="E24" i="4"/>
  <c r="D24" i="4"/>
  <c r="C24" i="4"/>
  <c r="E12" i="12" l="1"/>
  <c r="I20" i="1"/>
  <c r="J20" i="1" s="1"/>
  <c r="C29" i="1"/>
  <c r="H23" i="1"/>
  <c r="H12" i="12"/>
  <c r="C32" i="1"/>
  <c r="G12" i="12"/>
  <c r="C31" i="1"/>
  <c r="H22" i="1"/>
  <c r="K25" i="4"/>
  <c r="K26" i="4"/>
  <c r="K24" i="4"/>
  <c r="K25" i="2" l="1"/>
  <c r="L25" i="2"/>
  <c r="M25" i="2"/>
  <c r="N25" i="2"/>
  <c r="O25" i="2"/>
  <c r="P25" i="2"/>
  <c r="Q25" i="2"/>
  <c r="R25" i="2"/>
  <c r="S25" i="2"/>
  <c r="T25" i="2"/>
  <c r="U25" i="2"/>
  <c r="V25" i="2"/>
  <c r="K24" i="2"/>
  <c r="L24" i="2"/>
  <c r="M24" i="2"/>
  <c r="N24" i="2"/>
  <c r="O24" i="2"/>
  <c r="P24" i="2"/>
  <c r="Q24" i="2"/>
  <c r="R24" i="2"/>
  <c r="S24" i="2"/>
  <c r="T24" i="2"/>
  <c r="U24" i="2"/>
  <c r="V24" i="2"/>
  <c r="K23" i="2"/>
  <c r="L23" i="2"/>
  <c r="M23" i="2"/>
  <c r="N23" i="2"/>
  <c r="O23" i="2"/>
  <c r="P23" i="2"/>
  <c r="Q23" i="2"/>
  <c r="R23" i="2"/>
  <c r="S23" i="2"/>
  <c r="T23" i="2"/>
  <c r="U23" i="2"/>
  <c r="V23" i="2"/>
  <c r="J25" i="2"/>
  <c r="I25" i="2"/>
  <c r="H25" i="2"/>
  <c r="G25" i="2"/>
  <c r="F25" i="2"/>
  <c r="E25" i="2"/>
  <c r="D25" i="2"/>
  <c r="C25" i="2"/>
  <c r="J24" i="2"/>
  <c r="I24" i="2"/>
  <c r="H24" i="2"/>
  <c r="G24" i="2"/>
  <c r="F24" i="2"/>
  <c r="E24" i="2"/>
  <c r="D24" i="2"/>
  <c r="C24" i="2"/>
  <c r="J23" i="2"/>
  <c r="I23" i="2"/>
  <c r="H23" i="2"/>
  <c r="G23" i="2"/>
  <c r="F23" i="2"/>
  <c r="E23" i="2"/>
  <c r="D23" i="2"/>
  <c r="C23" i="2"/>
  <c r="M32" i="1" l="1"/>
  <c r="N32" i="1" s="1"/>
  <c r="O32" i="1" s="1"/>
  <c r="J32" i="1"/>
  <c r="K32" i="1" s="1"/>
  <c r="L32" i="1" s="1"/>
  <c r="D32" i="1"/>
  <c r="G32" i="1"/>
  <c r="H32" i="1" s="1"/>
  <c r="I32" i="1" s="1"/>
  <c r="W25" i="2"/>
  <c r="W23" i="2"/>
  <c r="W24" i="2"/>
  <c r="H4" i="5"/>
  <c r="D4" i="5"/>
  <c r="M31" i="1" l="1"/>
  <c r="N31" i="1" s="1"/>
  <c r="O31" i="1" s="1"/>
  <c r="M30" i="1"/>
  <c r="M29" i="1"/>
  <c r="N29" i="1" s="1"/>
  <c r="O29" i="1" s="1"/>
  <c r="D29" i="1"/>
  <c r="E29" i="1" s="1"/>
  <c r="J29" i="1"/>
  <c r="K29" i="1" s="1"/>
  <c r="L29" i="1" s="1"/>
  <c r="G29" i="1"/>
  <c r="F4" i="5"/>
  <c r="J31" i="1"/>
  <c r="K31" i="1" s="1"/>
  <c r="L31" i="1" s="1"/>
  <c r="J30" i="1"/>
  <c r="K30" i="1" s="1"/>
  <c r="L30" i="1" s="1"/>
  <c r="D31" i="1"/>
  <c r="E31" i="1" s="1"/>
  <c r="F31" i="1" s="1"/>
  <c r="G31" i="1"/>
  <c r="D30" i="1"/>
  <c r="E30" i="1" s="1"/>
  <c r="F30" i="1" s="1"/>
  <c r="G30" i="1"/>
  <c r="E32" i="1"/>
  <c r="F32" i="1" s="1"/>
  <c r="B4" i="5"/>
  <c r="H30" i="1" l="1"/>
  <c r="I30" i="1" s="1"/>
  <c r="H31" i="1"/>
  <c r="I31" i="1" s="1"/>
  <c r="G7" i="12" s="1"/>
  <c r="H7" i="12"/>
  <c r="H6" i="12"/>
  <c r="H8" i="12" s="1"/>
  <c r="H9" i="12" s="1"/>
  <c r="N30" i="1"/>
  <c r="H29" i="1"/>
  <c r="I29" i="1" s="1"/>
  <c r="F29" i="1"/>
  <c r="G6" i="12" l="1"/>
  <c r="G8" i="12" s="1"/>
  <c r="G9" i="12" s="1"/>
  <c r="E6" i="12"/>
  <c r="E8" i="12" s="1"/>
  <c r="E7" i="12"/>
  <c r="O30" i="1"/>
  <c r="K21" i="1"/>
  <c r="L21" i="1" s="1"/>
  <c r="K20" i="1"/>
  <c r="L20" i="1" s="1"/>
  <c r="K22" i="1"/>
  <c r="L22" i="1" s="1"/>
  <c r="K23" i="1"/>
  <c r="L23" i="1" s="1"/>
  <c r="F6" i="12" l="1"/>
  <c r="F8" i="12" s="1"/>
  <c r="F9" i="12" s="1"/>
  <c r="F7" i="12"/>
  <c r="I7" i="12" s="1"/>
  <c r="E9" i="12"/>
  <c r="I6" i="12" l="1"/>
  <c r="I8" i="12"/>
  <c r="I9" i="12" l="1"/>
  <c r="B6" i="9"/>
</calcChain>
</file>

<file path=xl/comments1.xml><?xml version="1.0" encoding="utf-8"?>
<comments xmlns="http://schemas.openxmlformats.org/spreadsheetml/2006/main">
  <authors>
    <author>Thanh Nguyen Van</author>
  </authors>
  <commentList>
    <comment ref="B8" authorId="0" shapeId="0">
      <text>
        <r>
          <rPr>
            <b/>
            <sz val="9"/>
            <color indexed="81"/>
            <rFont val="Tahoma"/>
            <family val="2"/>
            <charset val="238"/>
          </rPr>
          <t>Thanh Nguyen Van:</t>
        </r>
        <r>
          <rPr>
            <sz val="9"/>
            <color indexed="81"/>
            <rFont val="Tahoma"/>
            <family val="2"/>
            <charset val="238"/>
          </rPr>
          <t xml:space="preserve">
Složka je v exponenciálním pr. Rozdělení, ke které se volí hodnota lambda (1-4)
Hodnoty: Praha - 4, Brno - 3, Ostrava -2, Plzeň - 1
Pozn. Větší město má větší rozptyl náhodné složky</t>
        </r>
      </text>
    </comment>
    <comment ref="B9" authorId="0" shapeId="0">
      <text>
        <r>
          <rPr>
            <b/>
            <sz val="9"/>
            <color indexed="81"/>
            <rFont val="Tahoma"/>
            <family val="2"/>
            <charset val="238"/>
          </rPr>
          <t>Thanh Nguyen Van:</t>
        </r>
        <r>
          <rPr>
            <sz val="9"/>
            <color indexed="81"/>
            <rFont val="Tahoma"/>
            <family val="2"/>
            <charset val="238"/>
          </rPr>
          <t xml:space="preserve">
Nížší/vyšší očekávaná hodnota návětěvnosti
</t>
        </r>
      </text>
    </comment>
    <comment ref="B13" authorId="0" shapeId="0">
      <text>
        <r>
          <rPr>
            <b/>
            <sz val="9"/>
            <color indexed="81"/>
            <rFont val="Tahoma"/>
            <family val="2"/>
            <charset val="238"/>
          </rPr>
          <t>Thanh Nguyen Van:</t>
        </r>
        <r>
          <rPr>
            <sz val="9"/>
            <color indexed="81"/>
            <rFont val="Tahoma"/>
            <family val="2"/>
            <charset val="238"/>
          </rPr>
          <t xml:space="preserve">
Náklady očištěny o suroviny
</t>
        </r>
      </text>
    </comment>
    <comment ref="B19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Thanh Nguyen Van:
</t>
        </r>
        <r>
          <rPr>
            <sz val="9"/>
            <color indexed="81"/>
            <rFont val="Tahoma"/>
            <family val="2"/>
            <charset val="238"/>
          </rPr>
          <t>Současná konkurence:
MC Donald, KFC, Burger King, UGO, Bageterie, Döner Kebab, Subway</t>
        </r>
      </text>
    </comment>
    <comment ref="C19" authorId="0" shapeId="0">
      <text>
        <r>
          <rPr>
            <b/>
            <sz val="9"/>
            <color indexed="81"/>
            <rFont val="Tahoma"/>
            <family val="2"/>
            <charset val="238"/>
          </rPr>
          <t>Thanh Nguyen Van:</t>
        </r>
        <r>
          <rPr>
            <sz val="9"/>
            <color indexed="81"/>
            <rFont val="Tahoma"/>
            <family val="2"/>
            <charset val="238"/>
          </rPr>
          <t xml:space="preserve">
My jsme ta 8., celkem je 8 velkých podniků v tomto oboru</t>
        </r>
      </text>
    </comment>
  </commentList>
</comments>
</file>

<file path=xl/comments2.xml><?xml version="1.0" encoding="utf-8"?>
<comments xmlns="http://schemas.openxmlformats.org/spreadsheetml/2006/main">
  <authors>
    <author>Thanh Nguyen Van</author>
  </authors>
  <commentList>
    <comment ref="D2" authorId="0" shapeId="0">
      <text>
        <r>
          <rPr>
            <b/>
            <sz val="9"/>
            <color indexed="81"/>
            <rFont val="Tahoma"/>
            <family val="2"/>
            <charset val="238"/>
          </rPr>
          <t>Thanh Nguyen Van:</t>
        </r>
        <r>
          <rPr>
            <sz val="9"/>
            <color indexed="81"/>
            <rFont val="Tahoma"/>
            <family val="2"/>
            <charset val="238"/>
          </rPr>
          <t xml:space="preserve">
Čím nižší je hodnota, tím je vyšší poptávka (1-4[int])</t>
        </r>
      </text>
    </comment>
    <comment ref="C4" authorId="0" shapeId="0">
      <text>
        <r>
          <rPr>
            <b/>
            <sz val="9"/>
            <color indexed="81"/>
            <rFont val="Tahoma"/>
            <family val="2"/>
            <charset val="238"/>
          </rPr>
          <t>Thanh Nguyen Van:</t>
        </r>
        <r>
          <rPr>
            <sz val="9"/>
            <color indexed="81"/>
            <rFont val="Tahoma"/>
            <family val="2"/>
            <charset val="238"/>
          </rPr>
          <t xml:space="preserve">
Zahrnuty všechny kombinace provozoven
(tj. intervaly 1-5, 6-10, 11-15, 16-20)
</t>
        </r>
      </text>
    </comment>
    <comment ref="E12" authorId="0" shapeId="0">
      <text>
        <r>
          <rPr>
            <b/>
            <sz val="9"/>
            <color indexed="81"/>
            <rFont val="Tahoma"/>
            <family val="2"/>
            <charset val="238"/>
          </rPr>
          <t>Thanh Nguyen Van:</t>
        </r>
        <r>
          <rPr>
            <sz val="9"/>
            <color indexed="81"/>
            <rFont val="Tahoma"/>
            <family val="2"/>
            <charset val="238"/>
          </rPr>
          <t xml:space="preserve">
lze modifikovat pro konkrétní data v listu 03 Logika!G19</t>
        </r>
      </text>
    </comment>
  </commentList>
</comments>
</file>

<file path=xl/comments3.xml><?xml version="1.0" encoding="utf-8"?>
<comments xmlns="http://schemas.openxmlformats.org/spreadsheetml/2006/main">
  <authors>
    <author>Thanh Nguyen Van</author>
  </authors>
  <commentList>
    <comment ref="B1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Thanh Nguyen Van
</t>
        </r>
        <r>
          <rPr>
            <sz val="9"/>
            <color indexed="81"/>
            <rFont val="Tahoma"/>
            <family val="2"/>
            <charset val="238"/>
          </rPr>
          <t>V každé provozně pracuje:
2x obsluha, 
2x uklízečka, 
1x vedoucí, 
2x zástupce vedoucího,
4x kuchař</t>
        </r>
      </text>
    </comment>
    <comment ref="G19" authorId="0" shapeId="0">
      <text>
        <r>
          <rPr>
            <b/>
            <sz val="9"/>
            <color indexed="81"/>
            <rFont val="Tahoma"/>
            <family val="2"/>
            <charset val="238"/>
          </rPr>
          <t>Thanh Nguyen Van:</t>
        </r>
        <r>
          <rPr>
            <sz val="9"/>
            <color indexed="81"/>
            <rFont val="Tahoma"/>
            <family val="2"/>
            <charset val="238"/>
          </rPr>
          <t xml:space="preserve">
Možné manuálního zadávání počtu</t>
        </r>
      </text>
    </comment>
  </commentList>
</comments>
</file>

<file path=xl/sharedStrings.xml><?xml version="1.0" encoding="utf-8"?>
<sst xmlns="http://schemas.openxmlformats.org/spreadsheetml/2006/main" count="184" uniqueCount="119">
  <si>
    <t>Praha</t>
  </si>
  <si>
    <t>Brno</t>
  </si>
  <si>
    <t xml:space="preserve">Plzeň </t>
  </si>
  <si>
    <t>Ostrava</t>
  </si>
  <si>
    <t>Města</t>
  </si>
  <si>
    <t>Plzeň</t>
  </si>
  <si>
    <t>In this period</t>
  </si>
  <si>
    <t>Extremes</t>
  </si>
  <si>
    <t>Normal</t>
  </si>
  <si>
    <t>sm.odchylka</t>
  </si>
  <si>
    <t>pomoc.vypocty</t>
  </si>
  <si>
    <t>6/10--50/70</t>
  </si>
  <si>
    <t>3/13--50/70</t>
  </si>
  <si>
    <t>7/10-60/105</t>
  </si>
  <si>
    <t>7/30--150/350</t>
  </si>
  <si>
    <t>Počet obyvatel</t>
  </si>
  <si>
    <t>Návštěvníci fastffoodu</t>
  </si>
  <si>
    <t>Zaměstnanci</t>
  </si>
  <si>
    <t>Částečný úvazek</t>
  </si>
  <si>
    <t>Plný úvazek</t>
  </si>
  <si>
    <t>Průměr</t>
  </si>
  <si>
    <t>min</t>
  </si>
  <si>
    <t>max</t>
  </si>
  <si>
    <t>Monte carlo - Mzdy zaměstnanců</t>
  </si>
  <si>
    <t>Průměrná útrata</t>
  </si>
  <si>
    <t>Jednou měsíčně</t>
  </si>
  <si>
    <t>Jednou týdně</t>
  </si>
  <si>
    <t>Průměrná tržba</t>
  </si>
  <si>
    <t>Průměrné místo na sezení</t>
  </si>
  <si>
    <t>https://www.mpo-efekt.cz/upload/7799f3fd595eeee1fa66875530f33e8a/energeticka-narocnost-gastroprovozu-a-moznosti-uspor_final.pdf</t>
  </si>
  <si>
    <t>https://zpravy.aktualne.cz/finance/nakupovani/mcdonalds-kfc-nebo-burger-king-jak-cesi-miluji-fast-foody/r~5ebaface07d211e7bc17002590604f2e/?redirected=1528219245</t>
  </si>
  <si>
    <t>Průměrná čistá marže</t>
  </si>
  <si>
    <t>1--5</t>
  </si>
  <si>
    <t>6--10</t>
  </si>
  <si>
    <t>11--15</t>
  </si>
  <si>
    <t>16--20</t>
  </si>
  <si>
    <t>Počet provozoven</t>
  </si>
  <si>
    <t>Počet míst</t>
  </si>
  <si>
    <t>Počet zaměstnanců</t>
  </si>
  <si>
    <t>Počet zaměstnanců na jedné provozně</t>
  </si>
  <si>
    <t>PRAHA</t>
  </si>
  <si>
    <t>BRNO</t>
  </si>
  <si>
    <t>PLZEŇ</t>
  </si>
  <si>
    <t>OSTRAVA</t>
  </si>
  <si>
    <t>pomocné random</t>
  </si>
  <si>
    <t>POMOC. RANDOM</t>
  </si>
  <si>
    <t>Kumulace výsledků</t>
  </si>
  <si>
    <t>Náklady</t>
  </si>
  <si>
    <t>Celkové mzdy</t>
  </si>
  <si>
    <t>z toho částeč. Úvazek</t>
  </si>
  <si>
    <t>Celkem</t>
  </si>
  <si>
    <t>Celkové náklady</t>
  </si>
  <si>
    <t>Denní návštěvnost</t>
  </si>
  <si>
    <t>Ráno</t>
  </si>
  <si>
    <t>Poledne</t>
  </si>
  <si>
    <t>Odpoledne</t>
  </si>
  <si>
    <t>Večer/V noci</t>
  </si>
  <si>
    <t xml:space="preserve">Konkurence </t>
  </si>
  <si>
    <t>podniků</t>
  </si>
  <si>
    <t>Celková návštěvnost</t>
  </si>
  <si>
    <t>Snědí na místě</t>
  </si>
  <si>
    <t>měsíc</t>
  </si>
  <si>
    <t>Variabilní složka</t>
  </si>
  <si>
    <t>Kladná/záporná</t>
  </si>
  <si>
    <t>Obsazenost na místě</t>
  </si>
  <si>
    <t>den</t>
  </si>
  <si>
    <t>Ztrátová návštěvnost</t>
  </si>
  <si>
    <t>Min</t>
  </si>
  <si>
    <t>Max</t>
  </si>
  <si>
    <t>Nájem provozoven (monte carlo)</t>
  </si>
  <si>
    <t>Vybraná města v ČR</t>
  </si>
  <si>
    <t>Získané informace v průmyslu rychlého občerstvení (rok 2017)</t>
  </si>
  <si>
    <t>Nevyužité místo</t>
  </si>
  <si>
    <t>Souhrn za měsíc</t>
  </si>
  <si>
    <t>Celková tržba</t>
  </si>
  <si>
    <t>Celkem za měsíc (návštěvnost)</t>
  </si>
  <si>
    <t>lidí</t>
  </si>
  <si>
    <t>Průměr nákladů energií</t>
  </si>
  <si>
    <t>Nájem provozoven + energie</t>
  </si>
  <si>
    <t>https://revenuesandprofits.com/mcdonalds-net-profit-and-net-margin-from-2012-to-2016/</t>
  </si>
  <si>
    <t>Čistý zisk</t>
  </si>
  <si>
    <t>https://retailek.mediar.cz/2017/02/23/cesi-a-fast-foody-kvalitou-kraluje-ugo-cenou-doner-kebab/</t>
  </si>
  <si>
    <t>Návštěvnost</t>
  </si>
  <si>
    <t>Měsíční výplata (průměr)</t>
  </si>
  <si>
    <t>Náklady pronájmu</t>
  </si>
  <si>
    <t>v tomhle období</t>
  </si>
  <si>
    <t>Nízký</t>
  </si>
  <si>
    <t>Vysoký</t>
  </si>
  <si>
    <t>Střední</t>
  </si>
  <si>
    <t>pomocná veličina - THOUSAND</t>
  </si>
  <si>
    <t>všechny provozovny</t>
  </si>
  <si>
    <t>Průměrná hodnota po simulaci MC</t>
  </si>
  <si>
    <t>Poptávka</t>
  </si>
  <si>
    <t>Bin</t>
  </si>
  <si>
    <t>More</t>
  </si>
  <si>
    <t>Frequency</t>
  </si>
  <si>
    <t>Maximum</t>
  </si>
  <si>
    <t>Minimum</t>
  </si>
  <si>
    <t>Info</t>
  </si>
  <si>
    <t>Současná hodnota</t>
  </si>
  <si>
    <t>Intervaly (min--max)</t>
  </si>
  <si>
    <t>Negative count</t>
  </si>
  <si>
    <t>Positive count</t>
  </si>
  <si>
    <t>Zjištěné extrémy</t>
  </si>
  <si>
    <t>Aktuální hodnoty</t>
  </si>
  <si>
    <t>Hodnota</t>
  </si>
  <si>
    <t>Monte Carlo - nájem provozovny</t>
  </si>
  <si>
    <t>Statické view</t>
  </si>
  <si>
    <t>(nejvyšší h.)</t>
  </si>
  <si>
    <t>Aktuální měření</t>
  </si>
  <si>
    <t>Průměr rizika negativního zisku</t>
  </si>
  <si>
    <t>celkové</t>
  </si>
  <si>
    <t>maximální</t>
  </si>
  <si>
    <t>pomocný průměr</t>
  </si>
  <si>
    <t>pomocný rozptyl</t>
  </si>
  <si>
    <t>https://jobs.cz</t>
  </si>
  <si>
    <t>https://sreality.cz</t>
  </si>
  <si>
    <t>http://www.angusburger.cz/files/ab_fransizing_informacni_prospekt.pdf</t>
  </si>
  <si>
    <t>https://www.czso.cz/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</si>
</sst>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\ [$Kč-405]_-;\-* #,##0\ [$Kč-405]_-;_-* &quot;-&quot;??\ [$Kč-405]_-;_-@_-"/>
    <numFmt numFmtId="165" formatCode="_-* #,##0.00\ [$Kč-405]_-;\-* #,##0.00\ [$Kč-405]_-;_-* &quot;-&quot;??\ [$Kč-405]_-;_-@_-"/>
  </numFmts>
  <fonts count="10" x14ac:knownFonts="1">
    <font>
      <sz val="11"/>
      <color theme="1"/>
      <name val="Calibri"/>
      <family val="2"/>
      <scheme val="minor"/>
    </font>
    <font>
      <sz val="10"/>
      <color theme="1"/>
      <name val="Arial Unicode MS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4F4F"/>
        <bgColor indexed="64"/>
      </patternFill>
    </fill>
    <fill>
      <patternFill patternType="solid">
        <fgColor theme="9" tint="0.39997558519241921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271">
    <xf numFmtId="0" fontId="0" fillId="0" borderId="0" xfId="0"/>
    <xf numFmtId="0" fontId="0" fillId="2" borderId="0" xfId="0" applyFill="1"/>
    <xf numFmtId="0" fontId="0" fillId="5" borderId="0" xfId="0" applyFill="1"/>
    <xf numFmtId="0" fontId="0" fillId="0" borderId="0" xfId="0" applyNumberFormat="1"/>
    <xf numFmtId="0" fontId="0" fillId="0" borderId="0" xfId="0" applyNumberFormat="1" applyAlignment="1"/>
    <xf numFmtId="0" fontId="0" fillId="0" borderId="0" xfId="0" applyNumberFormat="1" applyFill="1"/>
    <xf numFmtId="9" fontId="0" fillId="0" borderId="0" xfId="1" applyFont="1"/>
    <xf numFmtId="0" fontId="0" fillId="0" borderId="0" xfId="0" applyNumberFormat="1" applyFill="1" applyBorder="1"/>
    <xf numFmtId="9" fontId="0" fillId="0" borderId="0" xfId="0" applyNumberFormat="1" applyAlignment="1">
      <alignment horizontal="left"/>
    </xf>
    <xf numFmtId="0" fontId="0" fillId="2" borderId="2" xfId="0" applyFill="1" applyBorder="1"/>
    <xf numFmtId="0" fontId="0" fillId="0" borderId="3" xfId="0" applyBorder="1"/>
    <xf numFmtId="0" fontId="0" fillId="0" borderId="4" xfId="0" applyBorder="1"/>
    <xf numFmtId="0" fontId="0" fillId="0" borderId="0" xfId="0" applyNumberFormat="1" applyBorder="1"/>
    <xf numFmtId="0" fontId="0" fillId="0" borderId="12" xfId="0" applyNumberFormat="1" applyBorder="1"/>
    <xf numFmtId="0" fontId="0" fillId="0" borderId="0" xfId="0" applyAlignment="1">
      <alignment horizontal="left"/>
    </xf>
    <xf numFmtId="0" fontId="0" fillId="13" borderId="13" xfId="0" applyNumberFormat="1" applyFill="1" applyBorder="1"/>
    <xf numFmtId="0" fontId="0" fillId="13" borderId="14" xfId="0" applyNumberFormat="1" applyFill="1" applyBorder="1"/>
    <xf numFmtId="0" fontId="0" fillId="13" borderId="15" xfId="0" applyNumberFormat="1" applyFill="1" applyBorder="1"/>
    <xf numFmtId="0" fontId="1" fillId="15" borderId="0" xfId="0" applyNumberFormat="1" applyFont="1" applyFill="1" applyBorder="1" applyAlignment="1">
      <alignment vertical="center"/>
    </xf>
    <xf numFmtId="0" fontId="1" fillId="15" borderId="12" xfId="0" applyNumberFormat="1" applyFont="1" applyFill="1" applyBorder="1" applyAlignment="1">
      <alignment vertical="center"/>
    </xf>
    <xf numFmtId="0" fontId="0" fillId="8" borderId="0" xfId="0" applyNumberFormat="1" applyFill="1"/>
    <xf numFmtId="0" fontId="0" fillId="6" borderId="0" xfId="0" applyNumberFormat="1" applyFill="1" applyAlignment="1"/>
    <xf numFmtId="0" fontId="0" fillId="8" borderId="0" xfId="0" applyNumberFormat="1" applyFill="1" applyAlignment="1">
      <alignment horizontal="left"/>
    </xf>
    <xf numFmtId="0" fontId="0" fillId="6" borderId="0" xfId="0" applyNumberFormat="1" applyFill="1" applyAlignment="1">
      <alignment horizontal="center"/>
    </xf>
    <xf numFmtId="0" fontId="0" fillId="13" borderId="7" xfId="0" applyNumberFormat="1" applyFill="1" applyBorder="1"/>
    <xf numFmtId="0" fontId="0" fillId="13" borderId="19" xfId="0" applyNumberFormat="1" applyFill="1" applyBorder="1"/>
    <xf numFmtId="0" fontId="0" fillId="13" borderId="24" xfId="0" applyNumberFormat="1" applyFill="1" applyBorder="1"/>
    <xf numFmtId="0" fontId="0" fillId="13" borderId="25" xfId="0" applyNumberFormat="1" applyFill="1" applyBorder="1"/>
    <xf numFmtId="0" fontId="0" fillId="13" borderId="26" xfId="0" applyNumberFormat="1" applyFill="1" applyBorder="1"/>
    <xf numFmtId="0" fontId="0" fillId="13" borderId="21" xfId="0" applyNumberFormat="1" applyFill="1" applyBorder="1"/>
    <xf numFmtId="0" fontId="0" fillId="2" borderId="1" xfId="0" applyNumberFormat="1" applyFill="1" applyBorder="1"/>
    <xf numFmtId="0" fontId="0" fillId="2" borderId="25" xfId="0" applyNumberFormat="1" applyFill="1" applyBorder="1"/>
    <xf numFmtId="0" fontId="0" fillId="14" borderId="17" xfId="0" applyNumberFormat="1" applyFill="1" applyBorder="1"/>
    <xf numFmtId="0" fontId="0" fillId="14" borderId="18" xfId="0" applyNumberFormat="1" applyFill="1" applyBorder="1"/>
    <xf numFmtId="0" fontId="0" fillId="0" borderId="29" xfId="0" applyNumberFormat="1" applyBorder="1"/>
    <xf numFmtId="0" fontId="5" fillId="0" borderId="1" xfId="0" applyNumberFormat="1" applyFont="1" applyBorder="1"/>
    <xf numFmtId="0" fontId="5" fillId="0" borderId="3" xfId="0" applyNumberFormat="1" applyFont="1" applyBorder="1"/>
    <xf numFmtId="0" fontId="0" fillId="0" borderId="0" xfId="0" applyNumberFormat="1" applyFill="1" applyBorder="1" applyAlignment="1"/>
    <xf numFmtId="0" fontId="0" fillId="0" borderId="0" xfId="0" applyFill="1" applyBorder="1" applyAlignment="1"/>
    <xf numFmtId="0" fontId="0" fillId="0" borderId="0" xfId="0" applyBorder="1"/>
    <xf numFmtId="0" fontId="0" fillId="0" borderId="1" xfId="0" applyBorder="1"/>
    <xf numFmtId="0" fontId="5" fillId="0" borderId="1" xfId="0" applyFont="1" applyBorder="1"/>
    <xf numFmtId="0" fontId="0" fillId="0" borderId="5" xfId="0" applyBorder="1"/>
    <xf numFmtId="0" fontId="0" fillId="16" borderId="0" xfId="0" applyFill="1"/>
    <xf numFmtId="0" fontId="7" fillId="0" borderId="0" xfId="0" applyFont="1" applyFill="1" applyBorder="1" applyAlignment="1">
      <alignment horizontal="right"/>
    </xf>
    <xf numFmtId="0" fontId="0" fillId="0" borderId="0" xfId="0" applyAlignment="1">
      <alignment horizontal="center" vertical="center" wrapText="1"/>
    </xf>
    <xf numFmtId="0" fontId="0" fillId="4" borderId="19" xfId="0" applyNumberFormat="1" applyFill="1" applyBorder="1" applyAlignment="1">
      <alignment horizontal="center"/>
    </xf>
    <xf numFmtId="0" fontId="0" fillId="4" borderId="20" xfId="0" applyNumberFormat="1" applyFill="1" applyBorder="1" applyAlignment="1">
      <alignment horizontal="center"/>
    </xf>
    <xf numFmtId="0" fontId="0" fillId="4" borderId="21" xfId="0" applyNumberFormat="1" applyFill="1" applyBorder="1" applyAlignment="1">
      <alignment horizontal="center"/>
    </xf>
    <xf numFmtId="0" fontId="0" fillId="13" borderId="7" xfId="0" applyNumberFormat="1" applyFill="1" applyBorder="1" applyAlignment="1">
      <alignment horizontal="center" vertical="center" wrapText="1"/>
    </xf>
    <xf numFmtId="0" fontId="0" fillId="13" borderId="21" xfId="0" applyNumberFormat="1" applyFill="1" applyBorder="1" applyAlignment="1">
      <alignment horizontal="center" vertical="center" wrapText="1"/>
    </xf>
    <xf numFmtId="0" fontId="0" fillId="11" borderId="10" xfId="0" applyNumberFormat="1" applyFill="1" applyBorder="1" applyAlignment="1">
      <alignment horizontal="center" vertical="center" wrapText="1"/>
    </xf>
    <xf numFmtId="0" fontId="0" fillId="11" borderId="15" xfId="0" applyNumberFormat="1" applyFill="1" applyBorder="1" applyAlignment="1">
      <alignment horizontal="center" vertical="center" wrapText="1"/>
    </xf>
    <xf numFmtId="0" fontId="0" fillId="10" borderId="10" xfId="0" applyNumberFormat="1" applyFill="1" applyBorder="1" applyAlignment="1">
      <alignment horizontal="center" vertical="center" wrapText="1"/>
    </xf>
    <xf numFmtId="0" fontId="0" fillId="10" borderId="15" xfId="0" applyNumberFormat="1" applyFill="1" applyBorder="1" applyAlignment="1">
      <alignment horizontal="center" vertical="center" wrapText="1"/>
    </xf>
    <xf numFmtId="0" fontId="0" fillId="8" borderId="10" xfId="0" applyNumberFormat="1" applyFill="1" applyBorder="1" applyAlignment="1">
      <alignment horizontal="center" vertical="center" wrapText="1"/>
    </xf>
    <xf numFmtId="0" fontId="0" fillId="8" borderId="15" xfId="0" applyNumberFormat="1" applyFill="1" applyBorder="1" applyAlignment="1">
      <alignment horizontal="center" vertical="center" wrapText="1"/>
    </xf>
    <xf numFmtId="0" fontId="0" fillId="13" borderId="7" xfId="0" applyNumberFormat="1" applyFill="1" applyBorder="1" applyAlignment="1">
      <alignment horizontal="center"/>
    </xf>
    <xf numFmtId="0" fontId="0" fillId="13" borderId="16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165" fontId="5" fillId="2" borderId="2" xfId="0" applyNumberFormat="1" applyFont="1" applyFill="1" applyBorder="1" applyAlignment="1">
      <alignment horizontal="center" vertical="center"/>
    </xf>
    <xf numFmtId="165" fontId="5" fillId="2" borderId="3" xfId="0" applyNumberFormat="1" applyFont="1" applyFill="1" applyBorder="1" applyAlignment="1">
      <alignment horizontal="center" vertical="center"/>
    </xf>
    <xf numFmtId="165" fontId="5" fillId="2" borderId="4" xfId="0" applyNumberFormat="1" applyFont="1" applyFill="1" applyBorder="1" applyAlignment="1">
      <alignment horizontal="center" vertical="center"/>
    </xf>
    <xf numFmtId="9" fontId="0" fillId="18" borderId="19" xfId="1" applyFont="1" applyFill="1" applyBorder="1"/>
    <xf numFmtId="9" fontId="0" fillId="18" borderId="20" xfId="1" applyFont="1" applyFill="1" applyBorder="1"/>
    <xf numFmtId="9" fontId="0" fillId="18" borderId="21" xfId="1" applyFont="1" applyFill="1" applyBorder="1"/>
    <xf numFmtId="0" fontId="0" fillId="13" borderId="21" xfId="0" applyNumberFormat="1" applyFill="1" applyBorder="1" applyAlignment="1">
      <alignment horizontal="center"/>
    </xf>
    <xf numFmtId="0" fontId="0" fillId="13" borderId="16" xfId="0" applyNumberFormat="1" applyFill="1" applyBorder="1" applyAlignment="1">
      <alignment horizontal="center" vertical="center"/>
    </xf>
    <xf numFmtId="0" fontId="0" fillId="14" borderId="10" xfId="0" applyNumberFormat="1" applyFill="1" applyBorder="1" applyAlignment="1">
      <alignment horizontal="center" vertical="center"/>
    </xf>
    <xf numFmtId="0" fontId="0" fillId="14" borderId="15" xfId="0" applyNumberFormat="1" applyFill="1" applyBorder="1" applyAlignment="1">
      <alignment horizontal="center" vertical="center"/>
    </xf>
    <xf numFmtId="0" fontId="0" fillId="19" borderId="9" xfId="0" applyNumberFormat="1" applyFill="1" applyBorder="1" applyAlignment="1">
      <alignment horizontal="center"/>
    </xf>
    <xf numFmtId="0" fontId="0" fillId="19" borderId="10" xfId="0" applyNumberFormat="1" applyFill="1" applyBorder="1" applyAlignment="1">
      <alignment horizontal="center"/>
    </xf>
    <xf numFmtId="0" fontId="0" fillId="19" borderId="16" xfId="0" applyNumberFormat="1" applyFill="1" applyBorder="1" applyAlignment="1">
      <alignment horizontal="center" vertical="center"/>
    </xf>
    <xf numFmtId="0" fontId="0" fillId="19" borderId="17" xfId="0" applyNumberFormat="1" applyFill="1" applyBorder="1" applyAlignment="1">
      <alignment horizontal="center" vertical="center"/>
    </xf>
    <xf numFmtId="0" fontId="0" fillId="19" borderId="18" xfId="0" applyNumberFormat="1" applyFill="1" applyBorder="1" applyAlignment="1">
      <alignment horizontal="center" vertical="center"/>
    </xf>
    <xf numFmtId="0" fontId="0" fillId="20" borderId="16" xfId="0" applyNumberFormat="1" applyFill="1" applyBorder="1" applyAlignment="1">
      <alignment horizontal="center" vertical="center"/>
    </xf>
    <xf numFmtId="0" fontId="0" fillId="20" borderId="17" xfId="0" applyNumberFormat="1" applyFill="1" applyBorder="1" applyAlignment="1">
      <alignment horizontal="center" vertical="center"/>
    </xf>
    <xf numFmtId="0" fontId="0" fillId="20" borderId="18" xfId="0" applyNumberFormat="1" applyFill="1" applyBorder="1" applyAlignment="1">
      <alignment horizontal="center" vertical="center"/>
    </xf>
    <xf numFmtId="0" fontId="0" fillId="13" borderId="34" xfId="0" applyNumberFormat="1" applyFill="1" applyBorder="1" applyAlignment="1">
      <alignment horizontal="center" vertical="center"/>
    </xf>
    <xf numFmtId="0" fontId="0" fillId="13" borderId="7" xfId="0" applyNumberFormat="1" applyFill="1" applyBorder="1" applyAlignment="1">
      <alignment horizontal="center" vertical="center"/>
    </xf>
    <xf numFmtId="0" fontId="0" fillId="13" borderId="7" xfId="0" applyNumberFormat="1" applyFill="1" applyBorder="1" applyAlignment="1">
      <alignment horizontal="center" vertical="center"/>
    </xf>
    <xf numFmtId="0" fontId="0" fillId="8" borderId="13" xfId="0" applyNumberFormat="1" applyFill="1" applyBorder="1" applyAlignment="1">
      <alignment horizontal="center" vertical="center" wrapText="1"/>
    </xf>
    <xf numFmtId="0" fontId="0" fillId="3" borderId="10" xfId="0" applyNumberFormat="1" applyFill="1" applyBorder="1" applyAlignment="1">
      <alignment horizontal="center" vertical="center" wrapText="1"/>
    </xf>
    <xf numFmtId="0" fontId="0" fillId="3" borderId="13" xfId="0" applyNumberFormat="1" applyFill="1" applyBorder="1" applyAlignment="1">
      <alignment horizontal="center" vertical="center"/>
    </xf>
    <xf numFmtId="0" fontId="0" fillId="3" borderId="15" xfId="0" applyNumberFormat="1" applyFill="1" applyBorder="1" applyAlignment="1">
      <alignment horizontal="center" vertical="center"/>
    </xf>
    <xf numFmtId="0" fontId="0" fillId="3" borderId="15" xfId="0" applyNumberFormat="1" applyFill="1" applyBorder="1" applyAlignment="1">
      <alignment horizontal="center" vertical="center" wrapText="1"/>
    </xf>
    <xf numFmtId="0" fontId="0" fillId="11" borderId="13" xfId="0" applyNumberFormat="1" applyFill="1" applyBorder="1" applyAlignment="1">
      <alignment horizontal="center" vertical="center"/>
    </xf>
    <xf numFmtId="0" fontId="0" fillId="11" borderId="15" xfId="0" applyNumberFormat="1" applyFill="1" applyBorder="1" applyAlignment="1">
      <alignment horizontal="center" vertical="center"/>
    </xf>
    <xf numFmtId="0" fontId="0" fillId="10" borderId="13" xfId="0" applyNumberFormat="1" applyFill="1" applyBorder="1" applyAlignment="1">
      <alignment horizontal="center" vertical="center"/>
    </xf>
    <xf numFmtId="0" fontId="0" fillId="10" borderId="15" xfId="0" applyNumberFormat="1" applyFill="1" applyBorder="1" applyAlignment="1">
      <alignment horizontal="center" vertical="center"/>
    </xf>
    <xf numFmtId="0" fontId="0" fillId="8" borderId="15" xfId="0" applyNumberFormat="1" applyFill="1" applyBorder="1" applyAlignment="1">
      <alignment horizontal="center" vertical="center"/>
    </xf>
    <xf numFmtId="0" fontId="0" fillId="14" borderId="12" xfId="0" applyNumberFormat="1" applyFill="1" applyBorder="1" applyAlignment="1">
      <alignment horizontal="center" vertical="center"/>
    </xf>
    <xf numFmtId="0" fontId="0" fillId="3" borderId="11" xfId="0" applyNumberFormat="1" applyFill="1" applyBorder="1" applyAlignment="1">
      <alignment horizontal="center" vertical="center"/>
    </xf>
    <xf numFmtId="0" fontId="0" fillId="3" borderId="12" xfId="0" applyNumberFormat="1" applyFill="1" applyBorder="1" applyAlignment="1">
      <alignment horizontal="center" vertical="center"/>
    </xf>
    <xf numFmtId="9" fontId="0" fillId="3" borderId="12" xfId="1" applyFont="1" applyFill="1" applyBorder="1" applyAlignment="1">
      <alignment horizontal="center" vertical="center"/>
    </xf>
    <xf numFmtId="0" fontId="0" fillId="11" borderId="11" xfId="0" applyNumberFormat="1" applyFill="1" applyBorder="1" applyAlignment="1">
      <alignment horizontal="center" vertical="center"/>
    </xf>
    <xf numFmtId="0" fontId="0" fillId="11" borderId="12" xfId="0" applyNumberFormat="1" applyFill="1" applyBorder="1" applyAlignment="1">
      <alignment horizontal="center" vertical="center"/>
    </xf>
    <xf numFmtId="9" fontId="0" fillId="11" borderId="12" xfId="1" applyFont="1" applyFill="1" applyBorder="1" applyAlignment="1">
      <alignment horizontal="center" vertical="center"/>
    </xf>
    <xf numFmtId="0" fontId="0" fillId="10" borderId="11" xfId="0" applyNumberFormat="1" applyFill="1" applyBorder="1" applyAlignment="1">
      <alignment horizontal="center" vertical="center"/>
    </xf>
    <xf numFmtId="0" fontId="0" fillId="10" borderId="12" xfId="0" applyNumberFormat="1" applyFill="1" applyBorder="1" applyAlignment="1">
      <alignment horizontal="center" vertical="center"/>
    </xf>
    <xf numFmtId="9" fontId="0" fillId="10" borderId="12" xfId="1" applyFont="1" applyFill="1" applyBorder="1" applyAlignment="1">
      <alignment horizontal="center" vertical="center"/>
    </xf>
    <xf numFmtId="0" fontId="0" fillId="8" borderId="11" xfId="0" applyNumberFormat="1" applyFill="1" applyBorder="1" applyAlignment="1">
      <alignment horizontal="center" vertical="center"/>
    </xf>
    <xf numFmtId="0" fontId="0" fillId="8" borderId="12" xfId="0" applyNumberFormat="1" applyFill="1" applyBorder="1" applyAlignment="1">
      <alignment horizontal="center" vertical="center"/>
    </xf>
    <xf numFmtId="9" fontId="0" fillId="8" borderId="12" xfId="1" applyFont="1" applyFill="1" applyBorder="1" applyAlignment="1">
      <alignment horizontal="center" vertical="center"/>
    </xf>
    <xf numFmtId="0" fontId="0" fillId="14" borderId="15" xfId="0" applyNumberFormat="1" applyFill="1" applyBorder="1" applyAlignment="1">
      <alignment horizontal="center" vertical="center"/>
    </xf>
    <xf numFmtId="9" fontId="0" fillId="3" borderId="15" xfId="1" applyFont="1" applyFill="1" applyBorder="1" applyAlignment="1">
      <alignment horizontal="center" vertical="center"/>
    </xf>
    <xf numFmtId="9" fontId="0" fillId="11" borderId="15" xfId="1" applyFont="1" applyFill="1" applyBorder="1" applyAlignment="1">
      <alignment horizontal="center" vertical="center"/>
    </xf>
    <xf numFmtId="9" fontId="0" fillId="10" borderId="15" xfId="1" applyFont="1" applyFill="1" applyBorder="1" applyAlignment="1">
      <alignment horizontal="center" vertical="center"/>
    </xf>
    <xf numFmtId="0" fontId="0" fillId="8" borderId="13" xfId="0" applyNumberFormat="1" applyFill="1" applyBorder="1" applyAlignment="1">
      <alignment horizontal="center" vertical="center"/>
    </xf>
    <xf numFmtId="9" fontId="0" fillId="8" borderId="15" xfId="1" applyFont="1" applyFill="1" applyBorder="1" applyAlignment="1">
      <alignment horizontal="center" vertical="center"/>
    </xf>
    <xf numFmtId="0" fontId="0" fillId="3" borderId="19" xfId="0" applyNumberFormat="1" applyFill="1" applyBorder="1" applyAlignment="1">
      <alignment horizontal="center" vertical="center"/>
    </xf>
    <xf numFmtId="0" fontId="0" fillId="3" borderId="21" xfId="0" applyNumberFormat="1" applyFill="1" applyBorder="1" applyAlignment="1">
      <alignment horizontal="center" vertical="center"/>
    </xf>
    <xf numFmtId="0" fontId="0" fillId="11" borderId="19" xfId="0" applyNumberFormat="1" applyFill="1" applyBorder="1" applyAlignment="1">
      <alignment horizontal="center" vertical="center" wrapText="1"/>
    </xf>
    <xf numFmtId="0" fontId="0" fillId="11" borderId="21" xfId="0" applyNumberFormat="1" applyFill="1" applyBorder="1" applyAlignment="1">
      <alignment horizontal="center" vertical="center" wrapText="1"/>
    </xf>
    <xf numFmtId="0" fontId="0" fillId="10" borderId="19" xfId="0" applyNumberFormat="1" applyFill="1" applyBorder="1" applyAlignment="1">
      <alignment horizontal="center" vertical="center"/>
    </xf>
    <xf numFmtId="0" fontId="0" fillId="10" borderId="21" xfId="0" applyNumberFormat="1" applyFill="1" applyBorder="1" applyAlignment="1">
      <alignment horizontal="center" vertical="center"/>
    </xf>
    <xf numFmtId="0" fontId="0" fillId="8" borderId="19" xfId="0" applyNumberFormat="1" applyFill="1" applyBorder="1" applyAlignment="1">
      <alignment horizontal="center" vertical="center" wrapText="1"/>
    </xf>
    <xf numFmtId="0" fontId="0" fillId="8" borderId="21" xfId="0" applyNumberFormat="1" applyFill="1" applyBorder="1" applyAlignment="1">
      <alignment horizontal="center" vertical="center" wrapText="1"/>
    </xf>
    <xf numFmtId="9" fontId="0" fillId="18" borderId="1" xfId="1" applyFont="1" applyFill="1" applyBorder="1"/>
    <xf numFmtId="0" fontId="0" fillId="20" borderId="0" xfId="0" applyFill="1"/>
    <xf numFmtId="0" fontId="0" fillId="0" borderId="5" xfId="0" applyNumberFormat="1" applyFill="1" applyBorder="1" applyAlignment="1">
      <alignment horizontal="center"/>
    </xf>
    <xf numFmtId="0" fontId="0" fillId="0" borderId="22" xfId="0" applyNumberFormat="1" applyFill="1" applyBorder="1" applyAlignment="1">
      <alignment horizontal="center"/>
    </xf>
    <xf numFmtId="0" fontId="0" fillId="0" borderId="6" xfId="0" applyNumberFormat="1" applyFill="1" applyBorder="1" applyAlignment="1">
      <alignment horizontal="center"/>
    </xf>
    <xf numFmtId="9" fontId="0" fillId="0" borderId="1" xfId="1" applyFont="1" applyBorder="1"/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0" borderId="22" xfId="0" applyFill="1" applyBorder="1"/>
    <xf numFmtId="0" fontId="0" fillId="0" borderId="29" xfId="0" applyFill="1" applyBorder="1"/>
    <xf numFmtId="0" fontId="0" fillId="21" borderId="22" xfId="0" applyNumberFormat="1" applyFill="1" applyBorder="1" applyAlignment="1">
      <alignment horizontal="center"/>
    </xf>
    <xf numFmtId="0" fontId="0" fillId="21" borderId="6" xfId="0" applyNumberFormat="1" applyFill="1" applyBorder="1" applyAlignment="1">
      <alignment horizontal="center"/>
    </xf>
    <xf numFmtId="0" fontId="9" fillId="0" borderId="0" xfId="2"/>
    <xf numFmtId="0" fontId="0" fillId="0" borderId="8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7" xfId="0" applyBorder="1"/>
    <xf numFmtId="0" fontId="0" fillId="0" borderId="18" xfId="0" applyBorder="1"/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17" borderId="0" xfId="0" applyFill="1"/>
    <xf numFmtId="0" fontId="0" fillId="21" borderId="0" xfId="0" applyFill="1"/>
    <xf numFmtId="0" fontId="0" fillId="8" borderId="8" xfId="0" applyFill="1" applyBorder="1"/>
    <xf numFmtId="0" fontId="0" fillId="6" borderId="9" xfId="0" applyFill="1" applyBorder="1"/>
    <xf numFmtId="0" fontId="0" fillId="8" borderId="9" xfId="0" applyFill="1" applyBorder="1"/>
    <xf numFmtId="0" fontId="0" fillId="6" borderId="10" xfId="0" applyFill="1" applyBorder="1"/>
    <xf numFmtId="0" fontId="0" fillId="6" borderId="14" xfId="0" applyFill="1" applyBorder="1"/>
    <xf numFmtId="0" fontId="0" fillId="8" borderId="14" xfId="0" applyFill="1" applyBorder="1"/>
    <xf numFmtId="0" fontId="0" fillId="6" borderId="15" xfId="0" applyFill="1" applyBorder="1"/>
    <xf numFmtId="0" fontId="6" fillId="0" borderId="37" xfId="0" applyFont="1" applyFill="1" applyBorder="1" applyAlignment="1">
      <alignment horizontal="center"/>
    </xf>
    <xf numFmtId="0" fontId="6" fillId="0" borderId="38" xfId="0" applyFont="1" applyFill="1" applyBorder="1" applyAlignment="1">
      <alignment horizontal="center"/>
    </xf>
    <xf numFmtId="0" fontId="0" fillId="0" borderId="36" xfId="0" applyNumberFormat="1" applyFill="1" applyBorder="1" applyAlignment="1"/>
    <xf numFmtId="0" fontId="0" fillId="0" borderId="27" xfId="0" applyFill="1" applyBorder="1" applyAlignment="1"/>
    <xf numFmtId="0" fontId="0" fillId="0" borderId="28" xfId="0" applyFill="1" applyBorder="1" applyAlignment="1"/>
    <xf numFmtId="0" fontId="0" fillId="0" borderId="33" xfId="0" applyFill="1" applyBorder="1" applyAlignment="1"/>
    <xf numFmtId="0" fontId="0" fillId="0" borderId="39" xfId="0" applyNumberFormat="1" applyBorder="1"/>
    <xf numFmtId="0" fontId="0" fillId="11" borderId="2" xfId="0" applyFill="1" applyBorder="1" applyAlignment="1">
      <alignment horizontal="center" vertical="center" textRotation="90" wrapText="1"/>
    </xf>
    <xf numFmtId="0" fontId="0" fillId="11" borderId="3" xfId="0" applyFill="1" applyBorder="1" applyAlignment="1">
      <alignment horizontal="center" vertical="center" textRotation="90" wrapText="1"/>
    </xf>
    <xf numFmtId="0" fontId="0" fillId="11" borderId="4" xfId="0" applyFill="1" applyBorder="1" applyAlignment="1">
      <alignment horizontal="center" vertical="center" textRotation="90" wrapText="1"/>
    </xf>
    <xf numFmtId="0" fontId="0" fillId="11" borderId="6" xfId="0" applyNumberFormat="1" applyFill="1" applyBorder="1"/>
    <xf numFmtId="0" fontId="0" fillId="11" borderId="30" xfId="0" applyNumberFormat="1" applyFill="1" applyBorder="1"/>
    <xf numFmtId="0" fontId="5" fillId="11" borderId="1" xfId="0" applyNumberFormat="1" applyFont="1" applyFill="1" applyBorder="1"/>
    <xf numFmtId="0" fontId="8" fillId="0" borderId="0" xfId="0" applyNumberFormat="1" applyFont="1"/>
    <xf numFmtId="0" fontId="0" fillId="7" borderId="11" xfId="0" applyNumberFormat="1" applyFont="1" applyFill="1" applyBorder="1"/>
    <xf numFmtId="0" fontId="0" fillId="7" borderId="0" xfId="0" applyNumberFormat="1" applyFont="1" applyFill="1" applyBorder="1"/>
    <xf numFmtId="0" fontId="0" fillId="7" borderId="16" xfId="0" applyNumberFormat="1" applyFont="1" applyFill="1" applyBorder="1"/>
    <xf numFmtId="0" fontId="0" fillId="7" borderId="31" xfId="0" applyNumberFormat="1" applyFont="1" applyFill="1" applyBorder="1"/>
    <xf numFmtId="0" fontId="0" fillId="7" borderId="17" xfId="0" applyNumberFormat="1" applyFont="1" applyFill="1" applyBorder="1"/>
    <xf numFmtId="0" fontId="0" fillId="7" borderId="13" xfId="0" applyNumberFormat="1" applyFont="1" applyFill="1" applyBorder="1"/>
    <xf numFmtId="0" fontId="0" fillId="7" borderId="14" xfId="0" applyNumberFormat="1" applyFont="1" applyFill="1" applyBorder="1"/>
    <xf numFmtId="0" fontId="0" fillId="7" borderId="18" xfId="0" applyNumberFormat="1" applyFont="1" applyFill="1" applyBorder="1"/>
    <xf numFmtId="0" fontId="0" fillId="7" borderId="32" xfId="0" applyNumberFormat="1" applyFont="1" applyFill="1" applyBorder="1"/>
    <xf numFmtId="0" fontId="0" fillId="18" borderId="11" xfId="0" applyNumberFormat="1" applyFont="1" applyFill="1" applyBorder="1"/>
    <xf numFmtId="0" fontId="0" fillId="18" borderId="17" xfId="0" applyNumberFormat="1" applyFont="1" applyFill="1" applyBorder="1"/>
    <xf numFmtId="0" fontId="0" fillId="0" borderId="2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8" borderId="11" xfId="0" applyFill="1" applyBorder="1"/>
    <xf numFmtId="0" fontId="0" fillId="9" borderId="16" xfId="0" applyNumberFormat="1" applyFont="1" applyFill="1" applyBorder="1" applyAlignment="1">
      <alignment horizontal="center" vertical="center"/>
    </xf>
    <xf numFmtId="0" fontId="0" fillId="9" borderId="19" xfId="0" applyNumberFormat="1" applyFont="1" applyFill="1" applyBorder="1" applyAlignment="1">
      <alignment horizontal="center"/>
    </xf>
    <xf numFmtId="0" fontId="0" fillId="9" borderId="20" xfId="0" applyNumberFormat="1" applyFont="1" applyFill="1" applyBorder="1" applyAlignment="1">
      <alignment horizontal="center"/>
    </xf>
    <xf numFmtId="0" fontId="0" fillId="9" borderId="21" xfId="0" applyNumberFormat="1" applyFont="1" applyFill="1" applyBorder="1" applyAlignment="1">
      <alignment horizontal="center"/>
    </xf>
    <xf numFmtId="0" fontId="0" fillId="12" borderId="16" xfId="0" applyNumberFormat="1" applyFont="1" applyFill="1" applyBorder="1" applyAlignment="1">
      <alignment horizontal="center" vertical="center"/>
    </xf>
    <xf numFmtId="0" fontId="0" fillId="12" borderId="20" xfId="0" applyNumberFormat="1" applyFont="1" applyFill="1" applyBorder="1" applyAlignment="1">
      <alignment horizontal="center"/>
    </xf>
    <xf numFmtId="0" fontId="0" fillId="12" borderId="21" xfId="0" applyNumberFormat="1" applyFont="1" applyFill="1" applyBorder="1" applyAlignment="1">
      <alignment horizontal="center"/>
    </xf>
    <xf numFmtId="0" fontId="0" fillId="9" borderId="18" xfId="0" applyNumberFormat="1" applyFont="1" applyFill="1" applyBorder="1" applyAlignment="1">
      <alignment horizontal="center" vertical="center"/>
    </xf>
    <xf numFmtId="0" fontId="0" fillId="7" borderId="11" xfId="0" applyNumberFormat="1" applyFont="1" applyFill="1" applyBorder="1" applyAlignment="1">
      <alignment horizontal="center"/>
    </xf>
    <xf numFmtId="0" fontId="0" fillId="7" borderId="12" xfId="0" applyNumberFormat="1" applyFont="1" applyFill="1" applyBorder="1" applyAlignment="1">
      <alignment horizontal="center"/>
    </xf>
    <xf numFmtId="0" fontId="0" fillId="7" borderId="16" xfId="0" applyNumberFormat="1" applyFont="1" applyFill="1" applyBorder="1" applyAlignment="1">
      <alignment horizontal="center" vertical="center"/>
    </xf>
    <xf numFmtId="0" fontId="0" fillId="7" borderId="12" xfId="0" applyNumberFormat="1" applyFont="1" applyFill="1" applyBorder="1"/>
    <xf numFmtId="0" fontId="0" fillId="12" borderId="18" xfId="0" applyNumberFormat="1" applyFont="1" applyFill="1" applyBorder="1" applyAlignment="1">
      <alignment horizontal="center" vertical="center"/>
    </xf>
    <xf numFmtId="0" fontId="0" fillId="15" borderId="20" xfId="0" applyNumberFormat="1" applyFont="1" applyFill="1" applyBorder="1"/>
    <xf numFmtId="0" fontId="0" fillId="15" borderId="21" xfId="0" applyNumberFormat="1" applyFont="1" applyFill="1" applyBorder="1"/>
    <xf numFmtId="0" fontId="0" fillId="7" borderId="7" xfId="0" applyNumberFormat="1" applyFont="1" applyFill="1" applyBorder="1"/>
    <xf numFmtId="0" fontId="0" fillId="3" borderId="19" xfId="0" applyNumberFormat="1" applyFont="1" applyFill="1" applyBorder="1"/>
    <xf numFmtId="0" fontId="0" fillId="4" borderId="20" xfId="0" applyNumberFormat="1" applyFont="1" applyFill="1" applyBorder="1"/>
    <xf numFmtId="0" fontId="0" fillId="7" borderId="18" xfId="0" applyNumberFormat="1" applyFont="1" applyFill="1" applyBorder="1" applyAlignment="1">
      <alignment horizontal="center" vertical="center"/>
    </xf>
    <xf numFmtId="0" fontId="0" fillId="5" borderId="19" xfId="0" applyNumberFormat="1" applyFont="1" applyFill="1" applyBorder="1"/>
    <xf numFmtId="0" fontId="0" fillId="7" borderId="21" xfId="0" applyNumberFormat="1" applyFont="1" applyFill="1" applyBorder="1"/>
    <xf numFmtId="0" fontId="0" fillId="15" borderId="16" xfId="0" applyNumberFormat="1" applyFont="1" applyFill="1" applyBorder="1"/>
    <xf numFmtId="0" fontId="0" fillId="15" borderId="0" xfId="0" applyNumberFormat="1" applyFont="1" applyFill="1" applyBorder="1"/>
    <xf numFmtId="0" fontId="0" fillId="15" borderId="12" xfId="0" applyNumberFormat="1" applyFont="1" applyFill="1" applyBorder="1"/>
    <xf numFmtId="0" fontId="0" fillId="7" borderId="10" xfId="0" applyNumberFormat="1" applyFont="1" applyFill="1" applyBorder="1"/>
    <xf numFmtId="0" fontId="0" fillId="15" borderId="17" xfId="0" applyNumberFormat="1" applyFont="1" applyFill="1" applyBorder="1"/>
    <xf numFmtId="0" fontId="0" fillId="7" borderId="15" xfId="0" applyNumberFormat="1" applyFont="1" applyFill="1" applyBorder="1"/>
    <xf numFmtId="0" fontId="0" fillId="7" borderId="19" xfId="0" applyNumberFormat="1" applyFont="1" applyFill="1" applyBorder="1" applyAlignment="1">
      <alignment horizontal="center" wrapText="1"/>
    </xf>
    <xf numFmtId="0" fontId="0" fillId="7" borderId="20" xfId="0" applyNumberFormat="1" applyFont="1" applyFill="1" applyBorder="1" applyAlignment="1">
      <alignment horizontal="center" wrapText="1"/>
    </xf>
    <xf numFmtId="9" fontId="0" fillId="7" borderId="1" xfId="0" applyNumberFormat="1" applyFont="1" applyFill="1" applyBorder="1" applyAlignment="1">
      <alignment horizontal="center" vertical="center"/>
    </xf>
    <xf numFmtId="0" fontId="0" fillId="14" borderId="1" xfId="0" applyNumberFormat="1" applyFont="1" applyFill="1" applyBorder="1"/>
    <xf numFmtId="0" fontId="0" fillId="14" borderId="22" xfId="0" applyNumberFormat="1" applyFont="1" applyFill="1" applyBorder="1"/>
    <xf numFmtId="0" fontId="0" fillId="14" borderId="6" xfId="0" applyNumberFormat="1" applyFont="1" applyFill="1" applyBorder="1"/>
    <xf numFmtId="0" fontId="0" fillId="7" borderId="8" xfId="0" applyNumberFormat="1" applyFont="1" applyFill="1" applyBorder="1" applyAlignment="1">
      <alignment horizontal="center"/>
    </xf>
    <xf numFmtId="0" fontId="0" fillId="7" borderId="9" xfId="0" applyNumberFormat="1" applyFont="1" applyFill="1" applyBorder="1" applyAlignment="1">
      <alignment horizontal="center"/>
    </xf>
    <xf numFmtId="0" fontId="0" fillId="7" borderId="1" xfId="0" applyNumberFormat="1" applyFont="1" applyFill="1" applyBorder="1" applyAlignment="1">
      <alignment horizontal="center"/>
    </xf>
    <xf numFmtId="0" fontId="0" fillId="15" borderId="11" xfId="0" applyNumberFormat="1" applyFont="1" applyFill="1" applyBorder="1" applyAlignment="1">
      <alignment horizontal="center"/>
    </xf>
    <xf numFmtId="0" fontId="0" fillId="15" borderId="23" xfId="0" applyNumberFormat="1" applyFont="1" applyFill="1" applyBorder="1" applyAlignment="1">
      <alignment horizontal="center"/>
    </xf>
    <xf numFmtId="0" fontId="0" fillId="7" borderId="8" xfId="0" applyNumberFormat="1" applyFont="1" applyFill="1" applyBorder="1" applyAlignment="1">
      <alignment horizontal="center" vertical="center" wrapText="1"/>
    </xf>
    <xf numFmtId="0" fontId="0" fillId="7" borderId="9" xfId="0" applyNumberFormat="1" applyFont="1" applyFill="1" applyBorder="1" applyAlignment="1">
      <alignment horizontal="center" vertical="center" wrapText="1"/>
    </xf>
    <xf numFmtId="0" fontId="0" fillId="7" borderId="2" xfId="0" applyNumberFormat="1" applyFont="1" applyFill="1" applyBorder="1" applyAlignment="1">
      <alignment horizontal="center" vertical="center"/>
    </xf>
    <xf numFmtId="0" fontId="0" fillId="12" borderId="16" xfId="0" applyNumberFormat="1" applyFont="1" applyFill="1" applyBorder="1"/>
    <xf numFmtId="0" fontId="0" fillId="15" borderId="8" xfId="0" applyNumberFormat="1" applyFont="1" applyFill="1" applyBorder="1"/>
    <xf numFmtId="0" fontId="0" fillId="15" borderId="9" xfId="0" applyNumberFormat="1" applyFont="1" applyFill="1" applyBorder="1"/>
    <xf numFmtId="0" fontId="0" fillId="15" borderId="10" xfId="0" applyNumberFormat="1" applyFont="1" applyFill="1" applyBorder="1"/>
    <xf numFmtId="0" fontId="0" fillId="7" borderId="13" xfId="0" applyNumberFormat="1" applyFont="1" applyFill="1" applyBorder="1" applyAlignment="1">
      <alignment horizontal="center" vertical="center" wrapText="1"/>
    </xf>
    <xf numFmtId="0" fontId="0" fillId="7" borderId="14" xfId="0" applyNumberFormat="1" applyFont="1" applyFill="1" applyBorder="1" applyAlignment="1">
      <alignment horizontal="center" vertical="center" wrapText="1"/>
    </xf>
    <xf numFmtId="0" fontId="0" fillId="7" borderId="4" xfId="0" applyNumberFormat="1" applyFont="1" applyFill="1" applyBorder="1" applyAlignment="1">
      <alignment horizontal="center" vertical="center"/>
    </xf>
    <xf numFmtId="0" fontId="0" fillId="12" borderId="18" xfId="0" applyNumberFormat="1" applyFont="1" applyFill="1" applyBorder="1"/>
    <xf numFmtId="0" fontId="0" fillId="15" borderId="13" xfId="0" applyNumberFormat="1" applyFont="1" applyFill="1" applyBorder="1"/>
    <xf numFmtId="0" fontId="0" fillId="15" borderId="14" xfId="0" applyNumberFormat="1" applyFont="1" applyFill="1" applyBorder="1"/>
    <xf numFmtId="0" fontId="0" fillId="15" borderId="15" xfId="0" applyNumberFormat="1" applyFont="1" applyFill="1" applyBorder="1"/>
    <xf numFmtId="0" fontId="0" fillId="0" borderId="0" xfId="0" applyFont="1"/>
    <xf numFmtId="0" fontId="0" fillId="16" borderId="19" xfId="0" applyFont="1" applyFill="1" applyBorder="1" applyAlignment="1">
      <alignment horizontal="center" vertical="center" wrapText="1"/>
    </xf>
    <xf numFmtId="0" fontId="0" fillId="16" borderId="20" xfId="0" applyFont="1" applyFill="1" applyBorder="1" applyAlignment="1">
      <alignment horizontal="center" vertical="center" wrapText="1"/>
    </xf>
    <xf numFmtId="0" fontId="0" fillId="16" borderId="21" xfId="0" applyFont="1" applyFill="1" applyBorder="1" applyAlignment="1">
      <alignment horizontal="center" vertical="center" wrapText="1"/>
    </xf>
    <xf numFmtId="0" fontId="0" fillId="16" borderId="19" xfId="0" applyFont="1" applyFill="1" applyBorder="1" applyAlignment="1">
      <alignment horizontal="center"/>
    </xf>
    <xf numFmtId="0" fontId="0" fillId="16" borderId="20" xfId="0" applyFont="1" applyFill="1" applyBorder="1" applyAlignment="1">
      <alignment horizontal="center"/>
    </xf>
    <xf numFmtId="0" fontId="0" fillId="16" borderId="21" xfId="0" applyFont="1" applyFill="1" applyBorder="1" applyAlignment="1">
      <alignment horizontal="center"/>
    </xf>
    <xf numFmtId="0" fontId="0" fillId="0" borderId="0" xfId="0" applyNumberFormat="1" applyFont="1" applyAlignment="1">
      <alignment horizontal="center" vertical="center"/>
    </xf>
    <xf numFmtId="0" fontId="0" fillId="16" borderId="13" xfId="0" applyNumberFormat="1" applyFont="1" applyFill="1" applyBorder="1"/>
    <xf numFmtId="0" fontId="0" fillId="16" borderId="14" xfId="0" applyNumberFormat="1" applyFont="1" applyFill="1" applyBorder="1"/>
    <xf numFmtId="0" fontId="0" fillId="16" borderId="15" xfId="0" applyNumberFormat="1" applyFont="1" applyFill="1" applyBorder="1"/>
    <xf numFmtId="0" fontId="0" fillId="16" borderId="16" xfId="0" applyNumberFormat="1" applyFont="1" applyFill="1" applyBorder="1" applyAlignment="1">
      <alignment horizontal="center" vertical="center"/>
    </xf>
    <xf numFmtId="0" fontId="0" fillId="18" borderId="9" xfId="0" applyNumberFormat="1" applyFont="1" applyFill="1" applyBorder="1"/>
    <xf numFmtId="0" fontId="0" fillId="18" borderId="10" xfId="0" applyNumberFormat="1" applyFont="1" applyFill="1" applyBorder="1"/>
    <xf numFmtId="0" fontId="0" fillId="16" borderId="18" xfId="0" applyNumberFormat="1" applyFont="1" applyFill="1" applyBorder="1" applyAlignment="1">
      <alignment horizontal="center" vertical="center"/>
    </xf>
    <xf numFmtId="0" fontId="0" fillId="18" borderId="19" xfId="0" applyNumberFormat="1" applyFont="1" applyFill="1" applyBorder="1" applyAlignment="1">
      <alignment horizontal="center"/>
    </xf>
    <xf numFmtId="0" fontId="0" fillId="18" borderId="20" xfId="0" applyNumberFormat="1" applyFont="1" applyFill="1" applyBorder="1" applyAlignment="1">
      <alignment horizontal="center"/>
    </xf>
    <xf numFmtId="0" fontId="0" fillId="18" borderId="21" xfId="0" applyNumberFormat="1" applyFont="1" applyFill="1" applyBorder="1" applyAlignment="1">
      <alignment horizontal="center"/>
    </xf>
    <xf numFmtId="0" fontId="0" fillId="18" borderId="8" xfId="0" applyNumberFormat="1" applyFont="1" applyFill="1" applyBorder="1"/>
    <xf numFmtId="0" fontId="0" fillId="18" borderId="0" xfId="0" applyNumberFormat="1" applyFont="1" applyFill="1" applyBorder="1"/>
    <xf numFmtId="0" fontId="0" fillId="18" borderId="12" xfId="0" applyNumberFormat="1" applyFont="1" applyFill="1" applyBorder="1"/>
    <xf numFmtId="0" fontId="0" fillId="0" borderId="0" xfId="0" applyNumberFormat="1" applyFont="1"/>
    <xf numFmtId="0" fontId="0" fillId="18" borderId="35" xfId="0" applyNumberFormat="1" applyFont="1" applyFill="1" applyBorder="1"/>
    <xf numFmtId="164" fontId="0" fillId="18" borderId="1" xfId="0" applyNumberFormat="1" applyFont="1" applyFill="1" applyBorder="1" applyAlignment="1">
      <alignment horizontal="center"/>
    </xf>
    <xf numFmtId="0" fontId="0" fillId="18" borderId="0" xfId="0" applyNumberFormat="1" applyFont="1" applyFill="1" applyBorder="1" applyAlignment="1">
      <alignment horizontal="center"/>
    </xf>
    <xf numFmtId="0" fontId="0" fillId="18" borderId="12" xfId="0" applyNumberFormat="1" applyFont="1" applyFill="1" applyBorder="1" applyAlignment="1">
      <alignment horizontal="center"/>
    </xf>
    <xf numFmtId="0" fontId="0" fillId="18" borderId="16" xfId="0" applyNumberFormat="1" applyFont="1" applyFill="1" applyBorder="1" applyAlignment="1">
      <alignment horizontal="center" vertical="center"/>
    </xf>
    <xf numFmtId="0" fontId="0" fillId="18" borderId="19" xfId="0" applyNumberFormat="1" applyFont="1" applyFill="1" applyBorder="1"/>
    <xf numFmtId="0" fontId="0" fillId="18" borderId="20" xfId="0" applyNumberFormat="1" applyFont="1" applyFill="1" applyBorder="1"/>
    <xf numFmtId="0" fontId="0" fillId="18" borderId="21" xfId="0" applyNumberFormat="1" applyFont="1" applyFill="1" applyBorder="1"/>
    <xf numFmtId="0" fontId="0" fillId="18" borderId="18" xfId="0" applyNumberFormat="1" applyFont="1" applyFill="1" applyBorder="1" applyAlignment="1">
      <alignment horizontal="center" vertical="center"/>
    </xf>
    <xf numFmtId="0" fontId="0" fillId="18" borderId="7" xfId="0" applyNumberFormat="1" applyFont="1" applyFill="1" applyBorder="1"/>
    <xf numFmtId="0" fontId="0" fillId="18" borderId="21" xfId="0" applyNumberFormat="1" applyFont="1" applyFill="1" applyBorder="1" applyAlignment="1">
      <alignment horizontal="left"/>
    </xf>
    <xf numFmtId="0" fontId="0" fillId="18" borderId="14" xfId="0" applyNumberFormat="1" applyFont="1" applyFill="1" applyBorder="1"/>
    <xf numFmtId="0" fontId="0" fillId="18" borderId="15" xfId="0" applyNumberFormat="1" applyFont="1" applyFill="1" applyBorder="1"/>
  </cellXfs>
  <cellStyles count="3">
    <cellStyle name="Hyperlink" xfId="2" builtinId="8"/>
    <cellStyle name="Normal" xfId="0" builtinId="0"/>
    <cellStyle name="Percent" xfId="1" builtinId="5"/>
  </cellStyles>
  <dxfs count="33">
    <dxf>
      <fill>
        <patternFill>
          <bgColor rgb="FFFFFF99"/>
        </patternFill>
      </fill>
    </dxf>
    <dxf>
      <fill>
        <patternFill>
          <bgColor theme="9" tint="0.59996337778862885"/>
        </patternFill>
      </fill>
    </dxf>
    <dxf>
      <fill>
        <patternFill>
          <bgColor rgb="FFFF5050"/>
        </patternFill>
      </fill>
    </dxf>
    <dxf>
      <fill>
        <patternFill>
          <bgColor rgb="FFFFFF99"/>
        </patternFill>
      </fill>
    </dxf>
    <dxf>
      <fill>
        <patternFill>
          <bgColor theme="9" tint="0.59996337778862885"/>
        </patternFill>
      </fill>
    </dxf>
    <dxf>
      <fill>
        <patternFill>
          <bgColor rgb="FFFF5050"/>
        </patternFill>
      </fill>
    </dxf>
    <dxf>
      <fill>
        <patternFill>
          <bgColor rgb="FFFFFF99"/>
        </patternFill>
      </fill>
    </dxf>
    <dxf>
      <fill>
        <patternFill>
          <bgColor theme="9" tint="0.59996337778862885"/>
        </patternFill>
      </fill>
    </dxf>
    <dxf>
      <fill>
        <patternFill>
          <bgColor rgb="FFFF5050"/>
        </patternFill>
      </fill>
    </dxf>
    <dxf>
      <fill>
        <patternFill>
          <bgColor rgb="FFFFFF99"/>
        </patternFill>
      </fill>
    </dxf>
    <dxf>
      <fill>
        <patternFill>
          <bgColor theme="9" tint="0.59996337778862885"/>
        </patternFill>
      </fill>
    </dxf>
    <dxf>
      <fill>
        <patternFill>
          <bgColor rgb="FFFF5050"/>
        </patternFill>
      </fill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theme="9" tint="0.59996337778862885"/>
        </patternFill>
      </fill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theme="9" tint="0.59996337778862885"/>
        </patternFill>
      </fill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theme="9" tint="0.59996337778862885"/>
        </patternFill>
      </fill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5050"/>
        </patternFill>
      </fill>
    </dxf>
    <dxf>
      <fill>
        <patternFill>
          <bgColor rgb="FFFFFF99"/>
        </patternFill>
      </fill>
    </dxf>
    <dxf>
      <fill>
        <patternFill>
          <bgColor rgb="FFFF5050"/>
        </patternFill>
      </fill>
    </dxf>
    <dxf>
      <fill>
        <patternFill>
          <bgColor theme="9" tint="0.59996337778862885"/>
        </patternFill>
      </fill>
    </dxf>
    <dxf>
      <fill>
        <patternFill>
          <bgColor rgb="FFFFFF99"/>
        </patternFill>
      </fill>
    </dxf>
    <dxf>
      <fill>
        <patternFill patternType="solid">
          <bgColor rgb="FFFF5050"/>
        </patternFill>
      </fill>
    </dxf>
    <dxf>
      <fill>
        <patternFill>
          <bgColor rgb="FFFF5050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colors>
    <mruColors>
      <color rgb="FFFF5050"/>
      <color rgb="FFFF4F4F"/>
      <color rgb="FFFFFF99"/>
      <color rgb="FFCCFF66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s-CZ"/>
              <a:t>Obecný</a:t>
            </a:r>
            <a:r>
              <a:rPr lang="cs-CZ" baseline="0"/>
              <a:t> v</a:t>
            </a:r>
            <a:r>
              <a:rPr lang="cs-CZ"/>
              <a:t>ývoj podnikových výsledků hosp.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strRef>
              <c:f>'02 MC výsledku'!$C$104:$C$128</c:f>
              <c:strCache>
                <c:ptCount val="25"/>
                <c:pt idx="0">
                  <c:v>-2200000</c:v>
                </c:pt>
                <c:pt idx="1">
                  <c:v>-1900000</c:v>
                </c:pt>
                <c:pt idx="2">
                  <c:v>-1600000</c:v>
                </c:pt>
                <c:pt idx="3">
                  <c:v>-1300000</c:v>
                </c:pt>
                <c:pt idx="4">
                  <c:v>-1000000</c:v>
                </c:pt>
                <c:pt idx="5">
                  <c:v>-700000</c:v>
                </c:pt>
                <c:pt idx="6">
                  <c:v>-400000</c:v>
                </c:pt>
                <c:pt idx="7">
                  <c:v>-100000</c:v>
                </c:pt>
                <c:pt idx="8">
                  <c:v>200000</c:v>
                </c:pt>
                <c:pt idx="9">
                  <c:v>500000</c:v>
                </c:pt>
                <c:pt idx="10">
                  <c:v>800000</c:v>
                </c:pt>
                <c:pt idx="11">
                  <c:v>1100000</c:v>
                </c:pt>
                <c:pt idx="12">
                  <c:v>1400000</c:v>
                </c:pt>
                <c:pt idx="13">
                  <c:v>1700000</c:v>
                </c:pt>
                <c:pt idx="14">
                  <c:v>2000000</c:v>
                </c:pt>
                <c:pt idx="15">
                  <c:v>2300000</c:v>
                </c:pt>
                <c:pt idx="16">
                  <c:v>2600000</c:v>
                </c:pt>
                <c:pt idx="17">
                  <c:v>2900000</c:v>
                </c:pt>
                <c:pt idx="18">
                  <c:v>3200000</c:v>
                </c:pt>
                <c:pt idx="19">
                  <c:v>3500000</c:v>
                </c:pt>
                <c:pt idx="20">
                  <c:v>3800000</c:v>
                </c:pt>
                <c:pt idx="21">
                  <c:v>4100000</c:v>
                </c:pt>
                <c:pt idx="22">
                  <c:v>4400000</c:v>
                </c:pt>
                <c:pt idx="23">
                  <c:v>4700000</c:v>
                </c:pt>
                <c:pt idx="24">
                  <c:v>More</c:v>
                </c:pt>
              </c:strCache>
            </c:strRef>
          </c:cat>
          <c:val>
            <c:numRef>
              <c:f>'02 MC výsledku'!$D$104:$D$128</c:f>
              <c:numCache>
                <c:formatCode>General</c:formatCode>
                <c:ptCount val="25"/>
                <c:pt idx="0">
                  <c:v>4</c:v>
                </c:pt>
                <c:pt idx="1">
                  <c:v>29</c:v>
                </c:pt>
                <c:pt idx="2">
                  <c:v>27</c:v>
                </c:pt>
                <c:pt idx="3">
                  <c:v>69</c:v>
                </c:pt>
                <c:pt idx="4">
                  <c:v>50</c:v>
                </c:pt>
                <c:pt idx="5">
                  <c:v>65</c:v>
                </c:pt>
                <c:pt idx="6">
                  <c:v>66</c:v>
                </c:pt>
                <c:pt idx="7">
                  <c:v>44</c:v>
                </c:pt>
                <c:pt idx="8">
                  <c:v>81</c:v>
                </c:pt>
                <c:pt idx="9">
                  <c:v>99</c:v>
                </c:pt>
                <c:pt idx="10">
                  <c:v>74</c:v>
                </c:pt>
                <c:pt idx="11">
                  <c:v>21</c:v>
                </c:pt>
                <c:pt idx="12">
                  <c:v>46</c:v>
                </c:pt>
                <c:pt idx="13">
                  <c:v>28</c:v>
                </c:pt>
                <c:pt idx="14">
                  <c:v>49</c:v>
                </c:pt>
                <c:pt idx="15">
                  <c:v>117</c:v>
                </c:pt>
                <c:pt idx="16">
                  <c:v>2</c:v>
                </c:pt>
                <c:pt idx="17">
                  <c:v>97</c:v>
                </c:pt>
                <c:pt idx="18">
                  <c:v>42</c:v>
                </c:pt>
                <c:pt idx="19">
                  <c:v>50</c:v>
                </c:pt>
                <c:pt idx="20">
                  <c:v>85</c:v>
                </c:pt>
                <c:pt idx="21">
                  <c:v>82</c:v>
                </c:pt>
                <c:pt idx="22">
                  <c:v>99</c:v>
                </c:pt>
                <c:pt idx="23">
                  <c:v>42</c:v>
                </c:pt>
                <c:pt idx="2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618223344"/>
        <c:axId val="-1618212464"/>
      </c:barChart>
      <c:catAx>
        <c:axId val="-16182233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cs-CZ"/>
                  <a:t>Bin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-1618212464"/>
        <c:crosses val="autoZero"/>
        <c:auto val="1"/>
        <c:lblAlgn val="ctr"/>
        <c:lblOffset val="100"/>
        <c:noMultiLvlLbl val="0"/>
      </c:catAx>
      <c:valAx>
        <c:axId val="-161821246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cs-CZ"/>
                  <a:t>Frequency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-161822334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s-CZ"/>
              <a:t>Vývoj</a:t>
            </a:r>
            <a:r>
              <a:rPr lang="cs-CZ" baseline="0"/>
              <a:t> podnikových výsledků hosp. maximalizace</a:t>
            </a:r>
            <a:endParaRPr lang="cs-CZ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strRef>
              <c:f>'02 MC výsledku'!$C$132:$C$156</c:f>
              <c:strCache>
                <c:ptCount val="25"/>
                <c:pt idx="0">
                  <c:v>4620000</c:v>
                </c:pt>
                <c:pt idx="1">
                  <c:v>4625000</c:v>
                </c:pt>
                <c:pt idx="2">
                  <c:v>4630000</c:v>
                </c:pt>
                <c:pt idx="3">
                  <c:v>4635000</c:v>
                </c:pt>
                <c:pt idx="4">
                  <c:v>4640000</c:v>
                </c:pt>
                <c:pt idx="5">
                  <c:v>4645000</c:v>
                </c:pt>
                <c:pt idx="6">
                  <c:v>4650000</c:v>
                </c:pt>
                <c:pt idx="7">
                  <c:v>4655000</c:v>
                </c:pt>
                <c:pt idx="8">
                  <c:v>4660000</c:v>
                </c:pt>
                <c:pt idx="9">
                  <c:v>4665000</c:v>
                </c:pt>
                <c:pt idx="10">
                  <c:v>4670000</c:v>
                </c:pt>
                <c:pt idx="11">
                  <c:v>4675000</c:v>
                </c:pt>
                <c:pt idx="12">
                  <c:v>4680000</c:v>
                </c:pt>
                <c:pt idx="13">
                  <c:v>4685000</c:v>
                </c:pt>
                <c:pt idx="14">
                  <c:v>4690000</c:v>
                </c:pt>
                <c:pt idx="15">
                  <c:v>4695000</c:v>
                </c:pt>
                <c:pt idx="16">
                  <c:v>4700000</c:v>
                </c:pt>
                <c:pt idx="17">
                  <c:v>4705000</c:v>
                </c:pt>
                <c:pt idx="18">
                  <c:v>4710000</c:v>
                </c:pt>
                <c:pt idx="19">
                  <c:v>4715000</c:v>
                </c:pt>
                <c:pt idx="20">
                  <c:v>4720000</c:v>
                </c:pt>
                <c:pt idx="21">
                  <c:v>4725000</c:v>
                </c:pt>
                <c:pt idx="22">
                  <c:v>4730000</c:v>
                </c:pt>
                <c:pt idx="23">
                  <c:v>4735000</c:v>
                </c:pt>
                <c:pt idx="24">
                  <c:v>More</c:v>
                </c:pt>
              </c:strCache>
            </c:strRef>
          </c:cat>
          <c:val>
            <c:numRef>
              <c:f>'02 MC výsledku'!$D$132:$D$156</c:f>
              <c:numCache>
                <c:formatCode>General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21</c:v>
                </c:pt>
                <c:pt idx="7">
                  <c:v>48</c:v>
                </c:pt>
                <c:pt idx="8">
                  <c:v>101</c:v>
                </c:pt>
                <c:pt idx="9">
                  <c:v>200</c:v>
                </c:pt>
                <c:pt idx="10">
                  <c:v>285</c:v>
                </c:pt>
                <c:pt idx="11">
                  <c:v>267</c:v>
                </c:pt>
                <c:pt idx="12">
                  <c:v>236</c:v>
                </c:pt>
                <c:pt idx="13">
                  <c:v>122</c:v>
                </c:pt>
                <c:pt idx="14">
                  <c:v>63</c:v>
                </c:pt>
                <c:pt idx="15">
                  <c:v>21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618222800"/>
        <c:axId val="-1618216272"/>
      </c:barChart>
      <c:catAx>
        <c:axId val="-1618222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cs-CZ"/>
                  <a:t>Bin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-1618216272"/>
        <c:crosses val="autoZero"/>
        <c:auto val="1"/>
        <c:lblAlgn val="ctr"/>
        <c:lblOffset val="100"/>
        <c:noMultiLvlLbl val="0"/>
      </c:catAx>
      <c:valAx>
        <c:axId val="-161821627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cs-CZ"/>
                  <a:t>Frequency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-161822280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Lines="4" dropStyle="combo" dx="16" fmlaLink="$I$1" fmlaRange="'03 Logika'!$B$8:$B$11" noThreeD="1" sel="1" val="0"/>
</file>

<file path=xl/ctrlProps/ctrlProp2.xml><?xml version="1.0" encoding="utf-8"?>
<formControlPr xmlns="http://schemas.microsoft.com/office/spreadsheetml/2009/9/main" objectType="Drop" dropLines="4" dropStyle="combo" dx="16" fmlaLink="$I$1" fmlaRange="'03 Logika'!$B$8:$B$11" noThreeD="1" sel="4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542924</xdr:colOff>
      <xdr:row>102</xdr:row>
      <xdr:rowOff>66675</xdr:rowOff>
    </xdr:from>
    <xdr:to>
      <xdr:col>14</xdr:col>
      <xdr:colOff>76199</xdr:colOff>
      <xdr:row>127</xdr:row>
      <xdr:rowOff>161925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504824</xdr:colOff>
      <xdr:row>130</xdr:row>
      <xdr:rowOff>19050</xdr:rowOff>
    </xdr:from>
    <xdr:to>
      <xdr:col>14</xdr:col>
      <xdr:colOff>19049</xdr:colOff>
      <xdr:row>155</xdr:row>
      <xdr:rowOff>66675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28575</xdr:rowOff>
        </xdr:from>
        <xdr:to>
          <xdr:col>7</xdr:col>
          <xdr:colOff>19050</xdr:colOff>
          <xdr:row>1</xdr:row>
          <xdr:rowOff>28575</xdr:rowOff>
        </xdr:to>
        <xdr:sp macro="" textlink="">
          <xdr:nvSpPr>
            <xdr:cNvPr id="12289" name="Drop Down 1" hidden="1">
              <a:extLst>
                <a:ext uri="{63B3BB69-23CF-44E3-9099-C40C66FF867C}">
                  <a14:compatExt spid="_x0000_s122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0</xdr:row>
          <xdr:rowOff>19050</xdr:rowOff>
        </xdr:from>
        <xdr:to>
          <xdr:col>8</xdr:col>
          <xdr:colOff>19050</xdr:colOff>
          <xdr:row>1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po-efekt.cz/upload/7799f3fd595eeee1fa66875530f33e8a/energeticka-narocnost-gastroprovozu-a-moznosti-uspor_final.pdf" TargetMode="External"/><Relationship Id="rId3" Type="http://schemas.openxmlformats.org/officeDocument/2006/relationships/hyperlink" Target="https://revenuesandprofits.com/mcdonalds-net-profit-and-net-margin-from-2012-to-2016/" TargetMode="External"/><Relationship Id="rId7" Type="http://schemas.openxmlformats.org/officeDocument/2006/relationships/hyperlink" Target="http://www.angusburger.cz/files/ab_fransizing_informacni_prospekt.pdf" TargetMode="External"/><Relationship Id="rId2" Type="http://schemas.openxmlformats.org/officeDocument/2006/relationships/hyperlink" Target="https://zpravy.aktualne.cz/finance/nakupovani/mcdonalds-kfc-nebo-burger-king-jak-cesi-miluji-fast-foody/r~5ebaface07d211e7bc17002590604f2e/?redirected=1528219245" TargetMode="External"/><Relationship Id="rId1" Type="http://schemas.openxmlformats.org/officeDocument/2006/relationships/hyperlink" Target="https://www.mpo-efekt.cz/upload/7799f3fd595eeee1fa66875530f33e8a/energeticka-narocnost-gastroprovozu-a-moznosti-uspor_final.pdf" TargetMode="External"/><Relationship Id="rId6" Type="http://schemas.openxmlformats.org/officeDocument/2006/relationships/hyperlink" Target="https://sreality.cz/" TargetMode="External"/><Relationship Id="rId5" Type="http://schemas.openxmlformats.org/officeDocument/2006/relationships/hyperlink" Target="https://jobs.cz/" TargetMode="External"/><Relationship Id="rId4" Type="http://schemas.openxmlformats.org/officeDocument/2006/relationships/hyperlink" Target="https://retailek.mediar.cz/2017/02/23/cesi-a-fast-foody-kvalitou-kraluje-ugo-cenou-doner-kebab/" TargetMode="External"/><Relationship Id="rId9" Type="http://schemas.openxmlformats.org/officeDocument/2006/relationships/hyperlink" Target="https://www.czso.cz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19"/>
  <sheetViews>
    <sheetView workbookViewId="0">
      <selection activeCell="A13" sqref="A13"/>
    </sheetView>
  </sheetViews>
  <sheetFormatPr defaultRowHeight="15" x14ac:dyDescent="0.25"/>
  <cols>
    <col min="1" max="1" width="9.140625" style="236"/>
    <col min="2" max="2" width="33.140625" style="236" customWidth="1"/>
    <col min="3" max="8" width="15.7109375" style="236" customWidth="1"/>
    <col min="9" max="16384" width="9.140625" style="236"/>
  </cols>
  <sheetData>
    <row r="1" spans="1:6" ht="25.5" customHeight="1" x14ac:dyDescent="0.25">
      <c r="B1" s="237" t="s">
        <v>71</v>
      </c>
      <c r="C1" s="238"/>
      <c r="D1" s="238"/>
      <c r="E1" s="238"/>
      <c r="F1" s="239"/>
    </row>
    <row r="2" spans="1:6" x14ac:dyDescent="0.25">
      <c r="B2" s="240" t="s">
        <v>70</v>
      </c>
      <c r="C2" s="241"/>
      <c r="D2" s="241"/>
      <c r="E2" s="241"/>
      <c r="F2" s="242"/>
    </row>
    <row r="3" spans="1:6" x14ac:dyDescent="0.25">
      <c r="A3" s="243"/>
      <c r="B3" s="244"/>
      <c r="C3" s="244" t="s">
        <v>0</v>
      </c>
      <c r="D3" s="245" t="s">
        <v>1</v>
      </c>
      <c r="E3" s="245" t="s">
        <v>5</v>
      </c>
      <c r="F3" s="246" t="s">
        <v>3</v>
      </c>
    </row>
    <row r="4" spans="1:6" x14ac:dyDescent="0.25">
      <c r="A4" s="243"/>
      <c r="B4" s="247" t="s">
        <v>15</v>
      </c>
      <c r="C4" s="248">
        <v>1294513</v>
      </c>
      <c r="D4" s="248">
        <v>379527</v>
      </c>
      <c r="E4" s="248">
        <v>170936</v>
      </c>
      <c r="F4" s="249">
        <v>290450</v>
      </c>
    </row>
    <row r="5" spans="1:6" x14ac:dyDescent="0.25">
      <c r="B5" s="250"/>
      <c r="C5" s="251" t="s">
        <v>16</v>
      </c>
      <c r="D5" s="252"/>
      <c r="E5" s="252"/>
      <c r="F5" s="253"/>
    </row>
    <row r="6" spans="1:6" x14ac:dyDescent="0.25">
      <c r="A6" s="6">
        <v>0.37</v>
      </c>
      <c r="B6" s="179" t="s">
        <v>25</v>
      </c>
      <c r="C6" s="254">
        <f>ROUND(C4*0.37,0)</f>
        <v>478970</v>
      </c>
      <c r="D6" s="248">
        <f>ROUND(D4*0.37,0)</f>
        <v>140425</v>
      </c>
      <c r="E6" s="248">
        <f>ROUND(E4*0.37,0)</f>
        <v>63246</v>
      </c>
      <c r="F6" s="249">
        <f>ROUND(F4*0.37,0)</f>
        <v>107467</v>
      </c>
    </row>
    <row r="7" spans="1:6" x14ac:dyDescent="0.25">
      <c r="A7" s="6">
        <v>0.08</v>
      </c>
      <c r="B7" s="179" t="s">
        <v>26</v>
      </c>
      <c r="C7" s="178">
        <f>ROUND((C4-C6)*4*0.08,0)</f>
        <v>260974</v>
      </c>
      <c r="D7" s="255">
        <f>ROUND(D4*0.08,0)</f>
        <v>30362</v>
      </c>
      <c r="E7" s="255">
        <f>ROUND(E4*0.08,0)</f>
        <v>13675</v>
      </c>
      <c r="F7" s="256">
        <f>ROUND(F4*0.08,0)</f>
        <v>23236</v>
      </c>
    </row>
    <row r="8" spans="1:6" x14ac:dyDescent="0.25">
      <c r="A8" s="257"/>
      <c r="B8" s="179" t="s">
        <v>62</v>
      </c>
      <c r="C8" s="178">
        <f ca="1">INT(_xlfn.EXPON.DIST(RAND(),4,)*C4/E4*100)</f>
        <v>509</v>
      </c>
      <c r="D8" s="255">
        <f ca="1">INT(_xlfn.EXPON.DIST(RAND(),3,)*D4/E4*100)</f>
        <v>246</v>
      </c>
      <c r="E8" s="255">
        <f ca="1">INT(_xlfn.EXPON.DIST(RAND(),1,)*E4/E4*100)</f>
        <v>66</v>
      </c>
      <c r="F8" s="256">
        <f ca="1">INT(_xlfn.EXPON.DIST(RAND(),2,)*F4/E4*100)</f>
        <v>275</v>
      </c>
    </row>
    <row r="9" spans="1:6" x14ac:dyDescent="0.25">
      <c r="A9" s="257"/>
      <c r="B9" s="179" t="s">
        <v>63</v>
      </c>
      <c r="C9" s="178">
        <f ca="1">IF(RAND()&lt;0.5,C8,-C8)</f>
        <v>-509</v>
      </c>
      <c r="D9" s="255">
        <f ca="1">IF(RAND()&lt;0.5,D8,-D8)</f>
        <v>-246</v>
      </c>
      <c r="E9" s="255">
        <f ca="1">IF(RAND()&lt;0.5,E8,-E8)</f>
        <v>66</v>
      </c>
      <c r="F9" s="256">
        <f ca="1">IF(RAND()&lt;0.5,F8,-F8)</f>
        <v>-275</v>
      </c>
    </row>
    <row r="10" spans="1:6" ht="15.75" thickBot="1" x14ac:dyDescent="0.3">
      <c r="A10" s="257"/>
      <c r="B10" s="179" t="s">
        <v>75</v>
      </c>
      <c r="C10" s="178">
        <f ca="1">C$6+C$7+C9</f>
        <v>739435</v>
      </c>
      <c r="D10" s="255">
        <f ca="1">D$6+D$7+D9</f>
        <v>170541</v>
      </c>
      <c r="E10" s="255">
        <f ca="1">E$6+E$7+E9</f>
        <v>76987</v>
      </c>
      <c r="F10" s="256">
        <f ca="1">F$6+F$7+F9</f>
        <v>130428</v>
      </c>
    </row>
    <row r="11" spans="1:6" ht="15.75" thickBot="1" x14ac:dyDescent="0.3">
      <c r="A11" s="257"/>
      <c r="B11" s="258" t="s">
        <v>24</v>
      </c>
      <c r="C11" s="259">
        <v>188</v>
      </c>
      <c r="D11" s="260"/>
      <c r="E11" s="260"/>
      <c r="F11" s="261"/>
    </row>
    <row r="12" spans="1:6" x14ac:dyDescent="0.25">
      <c r="A12" s="257"/>
      <c r="B12" s="178" t="s">
        <v>27</v>
      </c>
      <c r="C12" s="178">
        <f ca="1">C10*188</f>
        <v>139013780</v>
      </c>
      <c r="D12" s="255">
        <f ca="1">D10*188</f>
        <v>32061708</v>
      </c>
      <c r="E12" s="255">
        <f t="shared" ref="E12:F12" ca="1" si="0">E10*188</f>
        <v>14473556</v>
      </c>
      <c r="F12" s="256">
        <f t="shared" ca="1" si="0"/>
        <v>24520464</v>
      </c>
    </row>
    <row r="13" spans="1:6" ht="15.75" thickBot="1" x14ac:dyDescent="0.3">
      <c r="A13" s="6">
        <v>0.19</v>
      </c>
      <c r="B13" s="179" t="s">
        <v>31</v>
      </c>
      <c r="C13" s="178">
        <f ca="1">ROUND($A$13*C12,0)</f>
        <v>26412618</v>
      </c>
      <c r="D13" s="255">
        <f t="shared" ref="D13:F13" ca="1" si="1">ROUND($A$13*D12,0)</f>
        <v>6091725</v>
      </c>
      <c r="E13" s="255">
        <f t="shared" ca="1" si="1"/>
        <v>2749976</v>
      </c>
      <c r="F13" s="256">
        <f t="shared" ca="1" si="1"/>
        <v>4658888</v>
      </c>
    </row>
    <row r="14" spans="1:6" ht="15.75" thickBot="1" x14ac:dyDescent="0.3">
      <c r="A14" s="257"/>
      <c r="B14" s="258" t="s">
        <v>60</v>
      </c>
      <c r="C14" s="118">
        <v>0.4</v>
      </c>
      <c r="D14" s="255" t="s">
        <v>76</v>
      </c>
      <c r="E14" s="255"/>
      <c r="F14" s="256"/>
    </row>
    <row r="15" spans="1:6" x14ac:dyDescent="0.25">
      <c r="A15" s="257"/>
      <c r="B15" s="179"/>
      <c r="C15" s="178"/>
      <c r="D15" s="255"/>
      <c r="E15" s="255"/>
      <c r="F15" s="256"/>
    </row>
    <row r="16" spans="1:6" x14ac:dyDescent="0.25">
      <c r="A16" s="257"/>
      <c r="B16" s="262" t="s">
        <v>52</v>
      </c>
      <c r="C16" s="263" t="s">
        <v>53</v>
      </c>
      <c r="D16" s="264" t="s">
        <v>54</v>
      </c>
      <c r="E16" s="264" t="s">
        <v>55</v>
      </c>
      <c r="F16" s="265" t="s">
        <v>56</v>
      </c>
    </row>
    <row r="17" spans="1:6" x14ac:dyDescent="0.25">
      <c r="A17" s="257"/>
      <c r="B17" s="266"/>
      <c r="C17" s="63">
        <v>0.05</v>
      </c>
      <c r="D17" s="64">
        <v>0.22</v>
      </c>
      <c r="E17" s="64">
        <v>0.41</v>
      </c>
      <c r="F17" s="65">
        <v>0.32</v>
      </c>
    </row>
    <row r="18" spans="1:6" x14ac:dyDescent="0.25">
      <c r="A18" s="257"/>
      <c r="B18" s="179"/>
      <c r="C18" s="178"/>
      <c r="D18" s="255"/>
      <c r="E18" s="255"/>
      <c r="F18" s="256"/>
    </row>
    <row r="19" spans="1:6" x14ac:dyDescent="0.25">
      <c r="A19" s="257"/>
      <c r="B19" s="267" t="s">
        <v>57</v>
      </c>
      <c r="C19" s="263">
        <v>8</v>
      </c>
      <c r="D19" s="268" t="s">
        <v>58</v>
      </c>
      <c r="E19" s="269"/>
      <c r="F19" s="270"/>
    </row>
  </sheetData>
  <mergeCells count="6">
    <mergeCell ref="B16:B17"/>
    <mergeCell ref="B1:F1"/>
    <mergeCell ref="B2:F2"/>
    <mergeCell ref="A3:A4"/>
    <mergeCell ref="C5:F5"/>
    <mergeCell ref="B4:B5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50"/>
  <sheetViews>
    <sheetView workbookViewId="0">
      <selection activeCell="D40" sqref="D40"/>
    </sheetView>
  </sheetViews>
  <sheetFormatPr defaultRowHeight="15" x14ac:dyDescent="0.25"/>
  <cols>
    <col min="2" max="2" width="14" customWidth="1"/>
    <col min="3" max="3" width="8" customWidth="1"/>
    <col min="4" max="4" width="24.85546875" customWidth="1"/>
    <col min="5" max="7" width="15.140625" customWidth="1"/>
    <col min="8" max="8" width="18.5703125" customWidth="1"/>
    <col min="9" max="9" width="22.28515625" customWidth="1"/>
  </cols>
  <sheetData>
    <row r="1" spans="3:21" x14ac:dyDescent="0.25">
      <c r="M1">
        <v>1</v>
      </c>
    </row>
    <row r="2" spans="3:21" hidden="1" x14ac:dyDescent="0.25">
      <c r="D2" s="43" t="s">
        <v>92</v>
      </c>
      <c r="E2" s="43">
        <v>1</v>
      </c>
    </row>
    <row r="3" spans="3:21" ht="15.75" thickBot="1" x14ac:dyDescent="0.3"/>
    <row r="4" spans="3:21" ht="15.75" customHeight="1" thickBot="1" x14ac:dyDescent="0.3">
      <c r="C4" s="162" t="s">
        <v>90</v>
      </c>
      <c r="D4" s="165" t="s">
        <v>73</v>
      </c>
      <c r="E4" s="166" t="s">
        <v>0</v>
      </c>
      <c r="F4" s="166" t="s">
        <v>1</v>
      </c>
      <c r="G4" s="166" t="s">
        <v>5</v>
      </c>
      <c r="H4" s="166" t="s">
        <v>3</v>
      </c>
      <c r="I4" s="167" t="s">
        <v>50</v>
      </c>
    </row>
    <row r="5" spans="3:21" x14ac:dyDescent="0.25">
      <c r="C5" s="163"/>
      <c r="D5" s="13" t="s">
        <v>59</v>
      </c>
      <c r="E5" s="12">
        <f ca="1">INT('00 Základní Info'!C$10/'00 Základní Info'!$C$19/$E$2)</f>
        <v>92429</v>
      </c>
      <c r="F5" s="12">
        <f ca="1">INT('00 Základní Info'!D$10/'00 Základní Info'!$C$19/$E$2)</f>
        <v>21317</v>
      </c>
      <c r="G5" s="12">
        <f ca="1">INT('00 Základní Info'!E$10/'00 Základní Info'!$C$19/$E$2)</f>
        <v>9623</v>
      </c>
      <c r="H5" s="12">
        <f ca="1">INT('00 Základní Info'!F$10/'00 Základní Info'!$C$19/$E$2)</f>
        <v>16303</v>
      </c>
      <c r="I5" s="36">
        <f ca="1">SUM(E5:H5)</f>
        <v>139672</v>
      </c>
    </row>
    <row r="6" spans="3:21" x14ac:dyDescent="0.25">
      <c r="C6" s="163"/>
      <c r="D6" s="13" t="s">
        <v>66</v>
      </c>
      <c r="E6" s="12">
        <f ca="1">ROUNDUP(IF('03 Logika'!$F$29&gt;1,('03 Logika'!$E$29*'00 Základní Info'!$C$14-'03 Logika'!$C$29),)+IF('03 Logika'!$I$29&gt;1,('03 Logika'!$H$29*'00 Základní Info'!$C$14)-'03 Logika'!$C$29)+IF('03 Logika'!$L$29&gt;1,('03 Logika'!$K$29*'00 Základní Info'!$C$14)-'03 Logika'!$C$29)+IF('03 Logika'!$O$29&gt;1,('03 Logika'!$N$29*'00 Základní Info'!$C$14)-'03 Logika'!$C$29),0)</f>
        <v>276</v>
      </c>
      <c r="F6" s="12">
        <f ca="1">ROUNDUP(IF('03 Logika'!$F$30&gt;1,('03 Logika'!$E$30*'00 Základní Info'!$C$14-'03 Logika'!$C$30),)+IF('03 Logika'!$I$30&gt;1,('03 Logika'!$H$30*'00 Základní Info'!$C$14)-'03 Logika'!$C$30)+IF('03 Logika'!$L$30&gt;1,('03 Logika'!$K$30*'00 Základní Info'!$C$14)-'03 Logika'!$C$30)+IF('03 Logika'!$O$30&gt;1,('03 Logika'!$N$30*'00 Základní Info'!$C$14)-'03 Logika'!$C$30),0)</f>
        <v>153</v>
      </c>
      <c r="G6" s="12">
        <f ca="1">ROUNDUP(IF('03 Logika'!$F$31&gt;1,('03 Logika'!$E$31*'00 Základní Info'!$C$14-'03 Logika'!$C$31),)+IF('03 Logika'!$I$31&gt;1,('03 Logika'!$H$31*'00 Základní Info'!$C$14)-'03 Logika'!$C$31)+IF('03 Logika'!$L$31&gt;1,('03 Logika'!$K$31*'00 Základní Info'!$C$14)-'03 Logika'!$C$31)+IF('03 Logika'!$O$31&gt;1,('03 Logika'!$N$31*'00 Základní Info'!$C$14)-'03 Logika'!$C$31),0)</f>
        <v>0</v>
      </c>
      <c r="H6" s="12">
        <f ca="1">ROUNDUP(IF('03 Logika'!$F$32&gt;1,('03 Logika'!$E$32*'00 Základní Info'!$C$14-'03 Logika'!$C$32),)+IF('03 Logika'!$I$32&gt;1,('03 Logika'!$H$32*'00 Základní Info'!$C$14)-'03 Logika'!$C$32)+IF('03 Logika'!$L$32&gt;1,('03 Logika'!$K$32*'00 Základní Info'!$C$14)-'03 Logika'!$C$32)+IF('03 Logika'!$O$32&gt;1,('03 Logika'!$N$32*'00 Základní Info'!$C$14)-'03 Logika'!$C$32),0)</f>
        <v>0</v>
      </c>
      <c r="I6" s="36">
        <f ca="1">SUM(E6:H6)</f>
        <v>429</v>
      </c>
    </row>
    <row r="7" spans="3:21" x14ac:dyDescent="0.25">
      <c r="C7" s="163"/>
      <c r="D7" s="13" t="s">
        <v>72</v>
      </c>
      <c r="E7" s="12">
        <f ca="1">ROUNDUP(IF('03 Logika'!$F$29&lt;1,('03 Logika'!$E$29*'00 Základní Info'!$C$14-'03 Logika'!$C$29),)+IF('03 Logika'!$I$29&lt;1,('03 Logika'!$H29*'00 Základní Info'!$C$14)-'03 Logika'!$C$29)+IF('03 Logika'!$L$29&lt;1,('03 Logika'!$K$29*'00 Základní Info'!$C$14)-'03 Logika'!$C$29)+IF('03 Logika'!$O$29&lt;1,('03 Logika'!$N$29*'00 Základní Info'!$C$14)-'03 Logika'!$C$29),0)</f>
        <v>-292</v>
      </c>
      <c r="F7" s="12">
        <f ca="1">ROUNDUP(IF('03 Logika'!$F$30&lt;1,('03 Logika'!$E$30*'00 Základní Info'!$C$14-'03 Logika'!$C$30),)+IF('03 Logika'!$I$30&lt;1,('03 Logika'!$H$30*'00 Základní Info'!$C$14)-'03 Logika'!$C$30)+IF('03 Logika'!$L$30&lt;1,('03 Logika'!$K$30*'00 Základní Info'!$C$14)-'03 Logika'!$C$30)+IF('03 Logika'!$O$30&lt;1,('03 Logika'!$N$30*'00 Základní Info'!$C$14)-'03 Logika'!$C$30),0)</f>
        <v>-25</v>
      </c>
      <c r="G7" s="12">
        <f ca="1">ROUNDUP(IF('03 Logika'!$F$31&lt;1,('03 Logika'!$E$31*'00 Základní Info'!$C$14-'03 Logika'!$C$31),)+IF('03 Logika'!$I$31&lt;1,('03 Logika'!$H$31*'00 Základní Info'!$C$14)-'03 Logika'!$C$31)+IF('03 Logika'!$L$31&lt;1,('03 Logika'!$K$31*'00 Základní Info'!$C$14)-'03 Logika'!$C$31)+IF('03 Logika'!$O$31&lt;1,('03 Logika'!$N$31*'00 Základní Info'!$C$14)-'03 Logika'!$C$31),0)</f>
        <v>-185</v>
      </c>
      <c r="H7" s="12">
        <f ca="1">ROUNDUP(IF('03 Logika'!$F$32&lt;1,('03 Logika'!$E$32*'00 Základní Info'!$C$14-'03 Logika'!$C$32),)+IF('03 Logika'!$I$32&lt;1,('03 Logika'!$H$32*'00 Základní Info'!$C$14)-'03 Logika'!$C$32)+IF('03 Logika'!$L$32&lt;1,('03 Logika'!$K$32*'00 Základní Info'!$C$14)-'03 Logika'!$C$32)+IF('03 Logika'!$O$32&lt;1,('03 Logika'!$N$32*'00 Základní Info'!$C$14)-'03 Logika'!$C$32),0)</f>
        <v>-1188</v>
      </c>
      <c r="I7" s="36">
        <f ca="1">SUM(E7:H7)</f>
        <v>-1690</v>
      </c>
    </row>
    <row r="8" spans="3:21" ht="15.75" thickBot="1" x14ac:dyDescent="0.3">
      <c r="C8" s="163"/>
      <c r="D8" s="13" t="s">
        <v>74</v>
      </c>
      <c r="E8" s="12">
        <f ca="1">(E5*'00 Základní Info'!$C$11)-(E6*'00 Základní Info'!$C$11)</f>
        <v>17324764</v>
      </c>
      <c r="F8" s="12">
        <f ca="1">(F5*'00 Základní Info'!$C$11)-(F6*'00 Základní Info'!$C$11)</f>
        <v>3978832</v>
      </c>
      <c r="G8" s="12">
        <f ca="1">(G5*'00 Základní Info'!$C$11)-(G6*'00 Základní Info'!$C$11)</f>
        <v>1809124</v>
      </c>
      <c r="H8" s="12">
        <f ca="1">(H5*'00 Základní Info'!$C$11)-(H6*'00 Základní Info'!$C$11)</f>
        <v>3064964</v>
      </c>
      <c r="I8" s="36">
        <f ca="1">SUM(E8:H8)</f>
        <v>26177684</v>
      </c>
    </row>
    <row r="9" spans="3:21" ht="15.75" thickBot="1" x14ac:dyDescent="0.3">
      <c r="C9" s="163"/>
      <c r="D9" s="161" t="s">
        <v>80</v>
      </c>
      <c r="E9" s="34">
        <f ca="1">E8*'00 Základní Info'!$A$13-'03 Logika'!$L$20</f>
        <v>1278355.1600000001</v>
      </c>
      <c r="F9" s="34">
        <f ca="1">F8*'00 Základní Info'!$A$13-'03 Logika'!$M$20</f>
        <v>755978.08</v>
      </c>
      <c r="G9" s="34">
        <f ca="1">G8*'00 Základní Info'!$A$13-'03 Logika'!$N$20</f>
        <v>343733.56</v>
      </c>
      <c r="H9" s="34">
        <f ca="1">H8*'00 Základní Info'!$A$13-'03 Logika'!$O$20</f>
        <v>582343.16</v>
      </c>
      <c r="I9" s="60">
        <f ca="1">SUM(E9:H9)</f>
        <v>2960409.9600000004</v>
      </c>
    </row>
    <row r="10" spans="3:21" ht="15.75" thickBot="1" x14ac:dyDescent="0.3">
      <c r="C10" s="163"/>
      <c r="D10" s="124" t="s">
        <v>109</v>
      </c>
      <c r="E10" s="129" t="s">
        <v>36</v>
      </c>
      <c r="F10" s="129"/>
      <c r="G10" s="129"/>
      <c r="H10" s="130"/>
      <c r="I10" s="61"/>
    </row>
    <row r="11" spans="3:21" ht="15.75" thickBot="1" x14ac:dyDescent="0.3">
      <c r="C11" s="163"/>
      <c r="D11" s="125"/>
      <c r="E11" s="127" t="s">
        <v>0</v>
      </c>
      <c r="F11" s="127" t="s">
        <v>1</v>
      </c>
      <c r="G11" s="127" t="s">
        <v>5</v>
      </c>
      <c r="H11" s="127" t="s">
        <v>3</v>
      </c>
      <c r="I11" s="61"/>
      <c r="T11">
        <v>19</v>
      </c>
      <c r="U11">
        <v>10</v>
      </c>
    </row>
    <row r="12" spans="3:21" ht="15.75" thickBot="1" x14ac:dyDescent="0.3">
      <c r="C12" s="163"/>
      <c r="D12" s="125"/>
      <c r="E12" s="128">
        <f ca="1">'03 Logika'!G20</f>
        <v>8</v>
      </c>
      <c r="F12" s="128">
        <f ca="1">'03 Logika'!G21</f>
        <v>1</v>
      </c>
      <c r="G12" s="128">
        <f ca="1">'03 Logika'!G22</f>
        <v>2</v>
      </c>
      <c r="H12" s="128">
        <f ca="1">'03 Logika'!G23</f>
        <v>9</v>
      </c>
      <c r="I12" s="61"/>
    </row>
    <row r="13" spans="3:21" ht="15.75" thickBot="1" x14ac:dyDescent="0.3">
      <c r="C13" s="163"/>
      <c r="D13" s="125"/>
      <c r="E13" s="120" t="s">
        <v>110</v>
      </c>
      <c r="F13" s="121"/>
      <c r="G13" s="122"/>
      <c r="H13" s="123">
        <f>'02 MC výsledku'!M100/('02 MC výsledku'!M100+'02 MC výsledku'!M101)</f>
        <v>0.22962962962962963</v>
      </c>
      <c r="I13" s="61"/>
    </row>
    <row r="14" spans="3:21" ht="15.75" thickBot="1" x14ac:dyDescent="0.3">
      <c r="C14" s="164"/>
      <c r="D14" s="126"/>
      <c r="E14" s="181" t="s">
        <v>91</v>
      </c>
      <c r="F14" s="180"/>
      <c r="G14" s="182"/>
      <c r="H14" s="41">
        <f>'02 MC výsledku'!E100</f>
        <v>1583358.7599444452</v>
      </c>
      <c r="I14" s="62"/>
    </row>
    <row r="17" spans="1:13" x14ac:dyDescent="0.25">
      <c r="A17" s="132" t="s">
        <v>103</v>
      </c>
      <c r="B17" s="138"/>
      <c r="C17" s="143"/>
      <c r="D17" s="143" t="s">
        <v>105</v>
      </c>
      <c r="E17" s="144" t="s">
        <v>0</v>
      </c>
      <c r="F17" s="144" t="s">
        <v>1</v>
      </c>
      <c r="G17" s="144" t="s">
        <v>5</v>
      </c>
      <c r="H17" s="145" t="s">
        <v>3</v>
      </c>
    </row>
    <row r="18" spans="1:13" x14ac:dyDescent="0.25">
      <c r="A18" s="133"/>
      <c r="B18" s="139"/>
      <c r="C18" s="141" t="s">
        <v>22</v>
      </c>
      <c r="D18" s="143">
        <f>'02 MC výsledku'!G101</f>
        <v>4745570.1999999993</v>
      </c>
      <c r="E18" s="39">
        <v>1</v>
      </c>
      <c r="F18" s="39">
        <v>19</v>
      </c>
      <c r="G18" s="39">
        <v>9</v>
      </c>
      <c r="H18" s="134">
        <v>12</v>
      </c>
    </row>
    <row r="19" spans="1:13" x14ac:dyDescent="0.25">
      <c r="A19" s="137"/>
      <c r="B19" s="140"/>
      <c r="C19" s="142" t="s">
        <v>21</v>
      </c>
      <c r="D19" s="142">
        <f>'02 MC výsledku'!I101</f>
        <v>-2303151.4381666658</v>
      </c>
      <c r="E19" s="135">
        <v>20</v>
      </c>
      <c r="F19" s="135">
        <v>20</v>
      </c>
      <c r="G19" s="135">
        <v>12</v>
      </c>
      <c r="H19" s="136">
        <v>14</v>
      </c>
    </row>
    <row r="26" spans="1:13" x14ac:dyDescent="0.25">
      <c r="B26" s="6"/>
    </row>
    <row r="27" spans="1:13" x14ac:dyDescent="0.25"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</row>
    <row r="28" spans="1:13" x14ac:dyDescent="0.25"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</row>
    <row r="29" spans="1:13" x14ac:dyDescent="0.25"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</row>
    <row r="30" spans="1:13" x14ac:dyDescent="0.25"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25"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</row>
    <row r="32" spans="1:13" x14ac:dyDescent="0.25"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3:13" x14ac:dyDescent="0.25"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3:13" x14ac:dyDescent="0.25"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</row>
    <row r="35" spans="3:13" x14ac:dyDescent="0.25"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</row>
    <row r="36" spans="3:13" x14ac:dyDescent="0.25"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</row>
    <row r="37" spans="3:13" x14ac:dyDescent="0.25"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</row>
    <row r="38" spans="3:13" x14ac:dyDescent="0.25"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</row>
    <row r="39" spans="3:13" x14ac:dyDescent="0.25"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</row>
    <row r="40" spans="3:13" x14ac:dyDescent="0.25"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</row>
    <row r="41" spans="3:13" x14ac:dyDescent="0.25"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</row>
    <row r="42" spans="3:13" x14ac:dyDescent="0.25"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</row>
    <row r="43" spans="3:13" x14ac:dyDescent="0.25"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</row>
    <row r="44" spans="3:13" x14ac:dyDescent="0.25"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</row>
    <row r="45" spans="3:13" x14ac:dyDescent="0.25"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</row>
    <row r="46" spans="3:13" x14ac:dyDescent="0.25"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</row>
    <row r="47" spans="3:13" x14ac:dyDescent="0.25"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</row>
    <row r="48" spans="3:13" x14ac:dyDescent="0.25"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</row>
    <row r="49" spans="3:13" x14ac:dyDescent="0.25"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</row>
    <row r="50" spans="3:13" x14ac:dyDescent="0.25"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</row>
  </sheetData>
  <mergeCells count="7">
    <mergeCell ref="E10:H10"/>
    <mergeCell ref="A17:B19"/>
    <mergeCell ref="C4:C14"/>
    <mergeCell ref="D10:D14"/>
    <mergeCell ref="E13:G13"/>
    <mergeCell ref="E14:G14"/>
    <mergeCell ref="I9:I14"/>
  </mergeCells>
  <conditionalFormatting sqref="I9">
    <cfRule type="cellIs" dxfId="32" priority="3" operator="greaterThanOrEqual">
      <formula>0</formula>
    </cfRule>
  </conditionalFormatting>
  <conditionalFormatting sqref="I9">
    <cfRule type="cellIs" dxfId="31" priority="1" operator="lessThan">
      <formula>0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156"/>
  <sheetViews>
    <sheetView topLeftCell="B88" zoomScaleNormal="100" workbookViewId="0">
      <selection activeCell="F159" sqref="F159"/>
    </sheetView>
  </sheetViews>
  <sheetFormatPr defaultRowHeight="15" x14ac:dyDescent="0.25"/>
  <cols>
    <col min="2" max="2" width="13.42578125" customWidth="1"/>
    <col min="3" max="3" width="21.7109375" customWidth="1"/>
    <col min="4" max="6" width="14.85546875" customWidth="1"/>
    <col min="7" max="7" width="18.28515625" customWidth="1"/>
    <col min="8" max="8" width="14.85546875" customWidth="1"/>
    <col min="9" max="9" width="14.28515625" customWidth="1"/>
  </cols>
  <sheetData>
    <row r="1" spans="2:26" x14ac:dyDescent="0.25">
      <c r="K1">
        <v>1</v>
      </c>
    </row>
    <row r="5" spans="2:26" ht="15.75" thickBot="1" x14ac:dyDescent="0.3"/>
    <row r="6" spans="2:26" ht="15.75" thickBot="1" x14ac:dyDescent="0.3">
      <c r="B6" s="35">
        <f ca="1">SUM('01 Souhrn'!E9:H9)</f>
        <v>2960409.9600000004</v>
      </c>
      <c r="C6">
        <v>-2200000</v>
      </c>
      <c r="D6">
        <v>-1900000</v>
      </c>
      <c r="E6">
        <v>-1600000</v>
      </c>
      <c r="F6">
        <v>-1300000</v>
      </c>
      <c r="G6">
        <v>-1000000</v>
      </c>
      <c r="H6">
        <v>-700000</v>
      </c>
      <c r="I6">
        <v>-400000</v>
      </c>
      <c r="J6">
        <v>-100000</v>
      </c>
      <c r="K6">
        <v>200000</v>
      </c>
      <c r="L6">
        <v>500000</v>
      </c>
      <c r="M6">
        <v>800000</v>
      </c>
      <c r="N6">
        <v>1100000</v>
      </c>
      <c r="O6">
        <v>1400000</v>
      </c>
      <c r="P6">
        <v>1700000</v>
      </c>
      <c r="Q6">
        <v>2000000</v>
      </c>
      <c r="R6">
        <v>2300000</v>
      </c>
      <c r="S6">
        <v>2600000</v>
      </c>
      <c r="T6">
        <v>2900000</v>
      </c>
      <c r="U6">
        <v>3200000</v>
      </c>
      <c r="V6">
        <v>3500000</v>
      </c>
      <c r="W6">
        <v>3800000</v>
      </c>
      <c r="X6">
        <v>4100000</v>
      </c>
      <c r="Y6">
        <v>4400000</v>
      </c>
      <c r="Z6">
        <v>4700000</v>
      </c>
    </row>
    <row r="7" spans="2:26" x14ac:dyDescent="0.25">
      <c r="C7">
        <f t="dataTable" ref="C7:Z96" dt2D="1" dtr="1" r1="K1" r2="M1" ca="1"/>
        <v>-549690.3600000001</v>
      </c>
      <c r="D7">
        <v>3903318.3200000003</v>
      </c>
      <c r="E7">
        <v>3198725.12</v>
      </c>
      <c r="F7">
        <v>3187903.04</v>
      </c>
      <c r="G7">
        <v>2648200.16</v>
      </c>
      <c r="H7">
        <v>4205607.5599999996</v>
      </c>
      <c r="I7">
        <v>703331.92000000016</v>
      </c>
      <c r="J7">
        <v>1109909.96</v>
      </c>
      <c r="K7">
        <v>3181051.6799999997</v>
      </c>
      <c r="L7">
        <v>3687573.6000000006</v>
      </c>
      <c r="M7">
        <v>3926861.04</v>
      </c>
      <c r="N7">
        <v>-1447320.5599999996</v>
      </c>
      <c r="O7">
        <v>2362278.12</v>
      </c>
      <c r="P7">
        <v>3629125.72</v>
      </c>
      <c r="Q7">
        <v>3656680.92</v>
      </c>
      <c r="R7">
        <v>1969187.88</v>
      </c>
      <c r="S7">
        <v>4207393.5599999996</v>
      </c>
      <c r="T7">
        <v>4655085.4800000004</v>
      </c>
      <c r="U7">
        <v>3620427.92</v>
      </c>
      <c r="V7">
        <v>1350898.04</v>
      </c>
      <c r="W7">
        <v>-1035979.1600000003</v>
      </c>
      <c r="X7">
        <v>985382.40000000014</v>
      </c>
      <c r="Y7">
        <v>-291602.3200000003</v>
      </c>
      <c r="Z7">
        <v>2051617.7999999998</v>
      </c>
    </row>
    <row r="8" spans="2:26" x14ac:dyDescent="0.25">
      <c r="C8">
        <v>974185.24000000022</v>
      </c>
      <c r="D8">
        <v>3908896.32</v>
      </c>
      <c r="E8">
        <v>3927865.64</v>
      </c>
      <c r="F8">
        <v>-1864774.0799999996</v>
      </c>
      <c r="G8">
        <v>1435161.0799999998</v>
      </c>
      <c r="H8">
        <v>1151396.2000000002</v>
      </c>
      <c r="I8">
        <v>4656700.28</v>
      </c>
      <c r="J8">
        <v>713696.72000000009</v>
      </c>
      <c r="K8">
        <v>4644149.04</v>
      </c>
      <c r="L8">
        <v>2426304.7600000002</v>
      </c>
      <c r="M8">
        <v>784100.32000000007</v>
      </c>
      <c r="N8">
        <v>-885008.28000000014</v>
      </c>
      <c r="O8">
        <v>2342526.6800000002</v>
      </c>
      <c r="P8">
        <v>4191207.88</v>
      </c>
      <c r="Q8">
        <v>2018697.2000000002</v>
      </c>
      <c r="R8">
        <v>2281509.7200000002</v>
      </c>
      <c r="S8">
        <v>873055.64000000013</v>
      </c>
      <c r="T8">
        <v>-1582559</v>
      </c>
      <c r="U8">
        <v>4194149.8</v>
      </c>
      <c r="V8">
        <v>-552815.31999999972</v>
      </c>
      <c r="W8">
        <v>2367906.2400000002</v>
      </c>
      <c r="X8">
        <v>1766666.7599999998</v>
      </c>
      <c r="Y8">
        <v>2298480.2000000002</v>
      </c>
      <c r="Z8">
        <v>-704393</v>
      </c>
    </row>
    <row r="9" spans="2:26" x14ac:dyDescent="0.25">
      <c r="C9">
        <v>2663043.2799999998</v>
      </c>
      <c r="D9">
        <v>4172616.48</v>
      </c>
      <c r="E9">
        <v>215369.56000000023</v>
      </c>
      <c r="F9">
        <v>1236459.2399999998</v>
      </c>
      <c r="G9">
        <v>1223262.96</v>
      </c>
      <c r="H9">
        <v>1385498.08</v>
      </c>
      <c r="I9">
        <v>4188086.08</v>
      </c>
      <c r="J9">
        <v>379227.00000000006</v>
      </c>
      <c r="K9">
        <v>3956538.8400000003</v>
      </c>
      <c r="L9">
        <v>3935179.56</v>
      </c>
      <c r="M9">
        <v>2065540.64</v>
      </c>
      <c r="N9">
        <v>2326396.48</v>
      </c>
      <c r="O9">
        <v>4650684.5200000005</v>
      </c>
      <c r="P9">
        <v>2303448.96</v>
      </c>
      <c r="Q9">
        <v>210103.52000000019</v>
      </c>
      <c r="R9">
        <v>4203264.5199999996</v>
      </c>
      <c r="S9">
        <v>2434918.4400000004</v>
      </c>
      <c r="T9">
        <v>3664551.56</v>
      </c>
      <c r="U9">
        <v>4189064.6799999997</v>
      </c>
      <c r="V9">
        <v>980175.3200000003</v>
      </c>
      <c r="W9">
        <v>4227349.28</v>
      </c>
      <c r="X9">
        <v>2429123.88</v>
      </c>
      <c r="Y9">
        <v>2616438.56</v>
      </c>
      <c r="Z9">
        <v>146298.92000000016</v>
      </c>
    </row>
    <row r="10" spans="2:26" x14ac:dyDescent="0.25">
      <c r="C10">
        <v>540229.87999999989</v>
      </c>
      <c r="D10">
        <v>-919914.28</v>
      </c>
      <c r="E10">
        <v>1246011.28</v>
      </c>
      <c r="F10">
        <v>1167171.44</v>
      </c>
      <c r="G10">
        <v>-920450.08000000007</v>
      </c>
      <c r="H10">
        <v>-915607.27999999991</v>
      </c>
      <c r="I10">
        <v>2030632.3200000003</v>
      </c>
      <c r="J10">
        <v>1319366.52</v>
      </c>
      <c r="K10">
        <v>-1199888.0800000003</v>
      </c>
      <c r="L10">
        <v>216048.24000000028</v>
      </c>
      <c r="M10">
        <v>3922659.72</v>
      </c>
      <c r="N10">
        <v>233292.8400000002</v>
      </c>
      <c r="O10">
        <v>767882.72</v>
      </c>
      <c r="P10">
        <v>1127302</v>
      </c>
      <c r="Q10">
        <v>-1406895.9600000002</v>
      </c>
      <c r="R10">
        <v>827755.48</v>
      </c>
      <c r="S10">
        <v>3670618.8800000004</v>
      </c>
      <c r="T10">
        <v>1244840.7600000002</v>
      </c>
      <c r="U10">
        <v>3688329.84</v>
      </c>
      <c r="V10">
        <v>863309.8</v>
      </c>
      <c r="W10">
        <v>-515770.75999999989</v>
      </c>
      <c r="X10">
        <v>2058939.52</v>
      </c>
      <c r="Y10">
        <v>-1330935.2800000003</v>
      </c>
      <c r="Z10">
        <v>2050330.92</v>
      </c>
    </row>
    <row r="11" spans="2:26" x14ac:dyDescent="0.25">
      <c r="C11">
        <v>-412709.83999999985</v>
      </c>
      <c r="D11">
        <v>928507.67999999993</v>
      </c>
      <c r="E11">
        <v>582763.48000000021</v>
      </c>
      <c r="F11">
        <v>2608930.92</v>
      </c>
      <c r="G11">
        <v>-1350895.64</v>
      </c>
      <c r="H11">
        <v>4640278.3999999994</v>
      </c>
      <c r="I11">
        <v>4197690.2</v>
      </c>
      <c r="J11">
        <v>3686409</v>
      </c>
      <c r="K11">
        <v>894938.44</v>
      </c>
      <c r="L11">
        <v>-1464621.08</v>
      </c>
      <c r="M11">
        <v>3645815.92</v>
      </c>
      <c r="N11">
        <v>2552512.96</v>
      </c>
      <c r="O11">
        <v>-886820.28000000014</v>
      </c>
      <c r="P11">
        <v>2606468.0400000005</v>
      </c>
      <c r="Q11">
        <v>3152681.36</v>
      </c>
      <c r="R11">
        <v>2577996.2800000003</v>
      </c>
      <c r="S11">
        <v>2054988.88</v>
      </c>
      <c r="T11">
        <v>-1273524.1200000001</v>
      </c>
      <c r="U11">
        <v>4194981.7200000007</v>
      </c>
      <c r="V11">
        <v>-526692.63999999978</v>
      </c>
      <c r="W11">
        <v>2548728.4400000004</v>
      </c>
      <c r="X11">
        <v>631493.39999999991</v>
      </c>
      <c r="Y11">
        <v>-58760.559999999823</v>
      </c>
      <c r="Z11">
        <v>3941747.8</v>
      </c>
    </row>
    <row r="12" spans="2:26" x14ac:dyDescent="0.25">
      <c r="C12">
        <v>-759779.31999999983</v>
      </c>
      <c r="D12">
        <v>823599.67999999993</v>
      </c>
      <c r="E12">
        <v>-1589302.0399999998</v>
      </c>
      <c r="F12">
        <v>-629988.80000000016</v>
      </c>
      <c r="G12">
        <v>-846655.83999999973</v>
      </c>
      <c r="H12">
        <v>-1136959.48</v>
      </c>
      <c r="I12">
        <v>3925148.92</v>
      </c>
      <c r="J12">
        <v>-1412593.5999999999</v>
      </c>
      <c r="K12">
        <v>3664061.84</v>
      </c>
      <c r="L12">
        <v>1534413.0800000003</v>
      </c>
      <c r="M12">
        <v>1238657.8400000001</v>
      </c>
      <c r="N12">
        <v>4648177.16</v>
      </c>
      <c r="O12">
        <v>-1549935.2799999998</v>
      </c>
      <c r="P12">
        <v>-879816.00000000035</v>
      </c>
      <c r="Q12">
        <v>2387318.7599999998</v>
      </c>
      <c r="R12">
        <v>6203.2400000002235</v>
      </c>
      <c r="S12">
        <v>-537462.7200000002</v>
      </c>
      <c r="T12">
        <v>1468992.3199999998</v>
      </c>
      <c r="U12">
        <v>-899429.19999999972</v>
      </c>
      <c r="V12">
        <v>232711.92000000016</v>
      </c>
      <c r="W12">
        <v>823606.15999999992</v>
      </c>
      <c r="X12">
        <v>2131781.8000000003</v>
      </c>
      <c r="Y12">
        <v>2961748.92</v>
      </c>
      <c r="Z12">
        <v>435691.68000000011</v>
      </c>
    </row>
    <row r="13" spans="2:26" x14ac:dyDescent="0.25">
      <c r="C13">
        <v>-499971.36</v>
      </c>
      <c r="D13">
        <v>764215.71999999974</v>
      </c>
      <c r="E13">
        <v>2577249.7599999998</v>
      </c>
      <c r="F13">
        <v>1300390.6800000002</v>
      </c>
      <c r="G13">
        <v>2267147.2400000002</v>
      </c>
      <c r="H13">
        <v>2857670.2</v>
      </c>
      <c r="I13">
        <v>4224822.04</v>
      </c>
      <c r="J13">
        <v>-992633.95999999985</v>
      </c>
      <c r="K13">
        <v>2065799.76</v>
      </c>
      <c r="L13">
        <v>966967.40000000014</v>
      </c>
      <c r="M13">
        <v>3694973.76</v>
      </c>
      <c r="N13">
        <v>-1658530.3599999999</v>
      </c>
      <c r="O13">
        <v>2966425.0799999996</v>
      </c>
      <c r="P13">
        <v>2715751.6399999997</v>
      </c>
      <c r="Q13">
        <v>192634.04000000027</v>
      </c>
      <c r="R13">
        <v>-37256.320000000065</v>
      </c>
      <c r="S13">
        <v>-322358.04000000015</v>
      </c>
      <c r="T13">
        <v>999963.12000000011</v>
      </c>
      <c r="U13">
        <v>1323234</v>
      </c>
      <c r="V13">
        <v>3933357.8400000003</v>
      </c>
      <c r="W13">
        <v>-1346254.5999999996</v>
      </c>
      <c r="X13">
        <v>-1362764.4799999995</v>
      </c>
      <c r="Y13">
        <v>-1229508.1600000001</v>
      </c>
      <c r="Z13">
        <v>-1155616.9199999997</v>
      </c>
    </row>
    <row r="14" spans="2:26" x14ac:dyDescent="0.25">
      <c r="C14">
        <v>2646602.2400000002</v>
      </c>
      <c r="D14">
        <v>-796415.51999999967</v>
      </c>
      <c r="E14">
        <v>790432.15999999992</v>
      </c>
      <c r="F14">
        <v>1154745.6800000002</v>
      </c>
      <c r="G14">
        <v>3696941.72</v>
      </c>
      <c r="H14">
        <v>2077154.4800000002</v>
      </c>
      <c r="I14">
        <v>603031.68000000017</v>
      </c>
      <c r="J14">
        <v>4213022.84</v>
      </c>
      <c r="K14">
        <v>174028.87999999995</v>
      </c>
      <c r="L14">
        <v>-898964.84</v>
      </c>
      <c r="M14">
        <v>799138.44000000006</v>
      </c>
      <c r="N14">
        <v>2311734.7200000002</v>
      </c>
      <c r="O14">
        <v>-940962.00000000012</v>
      </c>
      <c r="P14">
        <v>-439434.4</v>
      </c>
      <c r="Q14">
        <v>3658883.7200000007</v>
      </c>
      <c r="R14">
        <v>723046.67999999993</v>
      </c>
      <c r="S14">
        <v>3936335.28</v>
      </c>
      <c r="T14">
        <v>3174687.92</v>
      </c>
      <c r="U14">
        <v>-1187167.3599999999</v>
      </c>
      <c r="V14">
        <v>864196.44000000006</v>
      </c>
      <c r="W14">
        <v>3678519.96</v>
      </c>
      <c r="X14">
        <v>3893665.4800000004</v>
      </c>
      <c r="Y14">
        <v>2308041.7200000002</v>
      </c>
      <c r="Z14">
        <v>-886604.47999999986</v>
      </c>
    </row>
    <row r="15" spans="2:26" x14ac:dyDescent="0.25">
      <c r="C15">
        <v>-1018845.3199999997</v>
      </c>
      <c r="D15">
        <v>-446929.55999999971</v>
      </c>
      <c r="E15">
        <v>2605808.2799999998</v>
      </c>
      <c r="F15">
        <v>2590425.04</v>
      </c>
      <c r="G15">
        <v>1519204.8399999999</v>
      </c>
      <c r="H15">
        <v>-440639.99999999988</v>
      </c>
      <c r="I15">
        <v>2861032.3200000003</v>
      </c>
      <c r="J15">
        <v>4201814.8</v>
      </c>
      <c r="K15">
        <v>-936675.59999999986</v>
      </c>
      <c r="L15">
        <v>-1143935.1999999997</v>
      </c>
      <c r="M15">
        <v>674462.48</v>
      </c>
      <c r="N15">
        <v>3954745.64</v>
      </c>
      <c r="O15">
        <v>356748.68000000005</v>
      </c>
      <c r="P15">
        <v>4172706.64</v>
      </c>
      <c r="Q15">
        <v>-477593.11999999988</v>
      </c>
      <c r="R15">
        <v>312584.03999999986</v>
      </c>
      <c r="S15">
        <v>144749.92000000016</v>
      </c>
      <c r="T15">
        <v>1488533.8800000004</v>
      </c>
      <c r="U15">
        <v>4634881.2</v>
      </c>
      <c r="V15">
        <v>1048058.96</v>
      </c>
      <c r="W15">
        <v>1412794.6800000002</v>
      </c>
      <c r="X15">
        <v>3951618.24</v>
      </c>
      <c r="Y15">
        <v>3916007.3600000003</v>
      </c>
      <c r="Z15">
        <v>370179.39999999985</v>
      </c>
    </row>
    <row r="16" spans="2:26" x14ac:dyDescent="0.25">
      <c r="C16">
        <v>2214681.6000000001</v>
      </c>
      <c r="D16">
        <v>4191327.52</v>
      </c>
      <c r="E16">
        <v>3625967.68</v>
      </c>
      <c r="F16">
        <v>1788425.2799999998</v>
      </c>
      <c r="G16">
        <v>2656460.9600000004</v>
      </c>
      <c r="H16">
        <v>3696640.44</v>
      </c>
      <c r="I16">
        <v>3708023.16</v>
      </c>
      <c r="J16">
        <v>1338855.2399999998</v>
      </c>
      <c r="K16">
        <v>-530584.51999999967</v>
      </c>
      <c r="L16">
        <v>3140563.96</v>
      </c>
      <c r="M16">
        <v>-581056.36</v>
      </c>
      <c r="N16">
        <v>2329136.2400000002</v>
      </c>
      <c r="O16">
        <v>1928463.12</v>
      </c>
      <c r="P16">
        <v>3618566.68</v>
      </c>
      <c r="Q16">
        <v>4655555.96</v>
      </c>
      <c r="R16">
        <v>-927209.39999999979</v>
      </c>
      <c r="S16">
        <v>741285.52000000025</v>
      </c>
      <c r="T16">
        <v>2115300</v>
      </c>
      <c r="U16">
        <v>1836054.7599999998</v>
      </c>
      <c r="V16">
        <v>1528340.6800000002</v>
      </c>
      <c r="W16">
        <v>1225448.8399999999</v>
      </c>
      <c r="X16">
        <v>3939184.44</v>
      </c>
      <c r="Y16">
        <v>4647941.4799999995</v>
      </c>
      <c r="Z16">
        <v>1804648.1600000001</v>
      </c>
    </row>
    <row r="17" spans="3:26" x14ac:dyDescent="0.25">
      <c r="C17">
        <v>908538.44</v>
      </c>
      <c r="D17">
        <v>4642569.96</v>
      </c>
      <c r="E17">
        <v>-86417.119999999763</v>
      </c>
      <c r="F17">
        <v>688048.95999999973</v>
      </c>
      <c r="G17">
        <v>4624838.08</v>
      </c>
      <c r="H17">
        <v>-1248415.6400000001</v>
      </c>
      <c r="I17">
        <v>1164124.04</v>
      </c>
      <c r="J17">
        <v>4647314.08</v>
      </c>
      <c r="K17">
        <v>2591377.7199999997</v>
      </c>
      <c r="L17">
        <v>2914146.08</v>
      </c>
      <c r="M17">
        <v>-847719.39999999991</v>
      </c>
      <c r="N17">
        <v>3955460.04</v>
      </c>
      <c r="O17">
        <v>1712736.8399999999</v>
      </c>
      <c r="P17">
        <v>-1226759.8399999999</v>
      </c>
      <c r="Q17">
        <v>-1893633.56</v>
      </c>
      <c r="R17">
        <v>-497649.55999999982</v>
      </c>
      <c r="S17">
        <v>2349017.3600000003</v>
      </c>
      <c r="T17">
        <v>-1417178.72</v>
      </c>
      <c r="U17">
        <v>2025047.9600000004</v>
      </c>
      <c r="V17">
        <v>-522406.23999999987</v>
      </c>
      <c r="W17">
        <v>3184865.7600000002</v>
      </c>
      <c r="X17">
        <v>-1077129.2800000003</v>
      </c>
      <c r="Y17">
        <v>-1353363.5999999996</v>
      </c>
      <c r="Z17">
        <v>1018759.2</v>
      </c>
    </row>
    <row r="18" spans="3:26" x14ac:dyDescent="0.25">
      <c r="C18">
        <v>-549909.11999999976</v>
      </c>
      <c r="D18">
        <v>2084306.08</v>
      </c>
      <c r="E18">
        <v>1566875.6400000001</v>
      </c>
      <c r="F18">
        <v>668127.80000000016</v>
      </c>
      <c r="G18">
        <v>2361531.6</v>
      </c>
      <c r="H18">
        <v>2322542.96</v>
      </c>
      <c r="I18">
        <v>1240689.6399999999</v>
      </c>
      <c r="J18">
        <v>-677803.64000000013</v>
      </c>
      <c r="K18">
        <v>662476.9600000002</v>
      </c>
      <c r="L18">
        <v>1470861.1600000001</v>
      </c>
      <c r="M18">
        <v>2666566.7599999998</v>
      </c>
      <c r="N18">
        <v>4213833.3999999994</v>
      </c>
      <c r="O18">
        <v>4173414.8</v>
      </c>
      <c r="P18">
        <v>1814418.08</v>
      </c>
      <c r="Q18">
        <v>1075736.1200000001</v>
      </c>
      <c r="R18">
        <v>2922322.56</v>
      </c>
      <c r="S18">
        <v>3654759.9600000004</v>
      </c>
      <c r="T18">
        <v>4638671</v>
      </c>
      <c r="U18">
        <v>1025412.5200000001</v>
      </c>
      <c r="V18">
        <v>-1157394.7599999998</v>
      </c>
      <c r="W18">
        <v>4219203.76</v>
      </c>
      <c r="X18">
        <v>-906216</v>
      </c>
      <c r="Y18">
        <v>4206407.88</v>
      </c>
      <c r="Z18">
        <v>-802833.36</v>
      </c>
    </row>
    <row r="19" spans="3:26" x14ac:dyDescent="0.25">
      <c r="C19">
        <v>937435.03999999992</v>
      </c>
      <c r="D19">
        <v>790972.92000000016</v>
      </c>
      <c r="E19">
        <v>2202578.88</v>
      </c>
      <c r="F19">
        <v>345165.92</v>
      </c>
      <c r="G19">
        <v>3667562.4</v>
      </c>
      <c r="H19">
        <v>1148813.08</v>
      </c>
      <c r="I19">
        <v>1971265.6400000001</v>
      </c>
      <c r="J19">
        <v>2300091.2799999998</v>
      </c>
      <c r="K19">
        <v>1234771.7600000002</v>
      </c>
      <c r="L19">
        <v>4197400.32</v>
      </c>
      <c r="M19">
        <v>4183927.2399999998</v>
      </c>
      <c r="N19">
        <v>-1917321.6</v>
      </c>
      <c r="O19">
        <v>3684358.8000000003</v>
      </c>
      <c r="P19">
        <v>3947387.1199999996</v>
      </c>
      <c r="Q19">
        <v>-390026.19999999995</v>
      </c>
      <c r="R19">
        <v>-824508.84</v>
      </c>
      <c r="S19">
        <v>-1036998.2400000001</v>
      </c>
      <c r="T19">
        <v>-833542.40000000026</v>
      </c>
      <c r="U19">
        <v>673597.28000000026</v>
      </c>
      <c r="V19">
        <v>2911252.7600000002</v>
      </c>
      <c r="W19">
        <v>1179905.9200000004</v>
      </c>
      <c r="X19">
        <v>278166.59999999992</v>
      </c>
      <c r="Y19">
        <v>3925378.7600000007</v>
      </c>
      <c r="Z19">
        <v>2015729.9200000004</v>
      </c>
    </row>
    <row r="20" spans="3:26" x14ac:dyDescent="0.25">
      <c r="C20">
        <v>-574212.83999999973</v>
      </c>
      <c r="D20">
        <v>683023.12000000011</v>
      </c>
      <c r="E20">
        <v>2072403.7199999997</v>
      </c>
      <c r="F20">
        <v>4199148.4799999995</v>
      </c>
      <c r="G20">
        <v>2567201.3600000003</v>
      </c>
      <c r="H20">
        <v>594208.84000000008</v>
      </c>
      <c r="I20">
        <v>2656054.1999999997</v>
      </c>
      <c r="J20">
        <v>1618924.3600000003</v>
      </c>
      <c r="K20">
        <v>2849887.8</v>
      </c>
      <c r="L20">
        <v>1468005.04</v>
      </c>
      <c r="M20">
        <v>2901631.2</v>
      </c>
      <c r="N20">
        <v>4215344</v>
      </c>
      <c r="O20">
        <v>2299911.52</v>
      </c>
      <c r="P20">
        <v>2353526.7200000002</v>
      </c>
      <c r="Q20">
        <v>4224872.24</v>
      </c>
      <c r="R20">
        <v>1153433.32</v>
      </c>
      <c r="S20">
        <v>2038383.7599999998</v>
      </c>
      <c r="T20">
        <v>-1803620.0399999996</v>
      </c>
      <c r="U20">
        <v>776713.48000000021</v>
      </c>
      <c r="V20">
        <v>655240.07999999996</v>
      </c>
      <c r="W20">
        <v>3713352.2</v>
      </c>
      <c r="X20">
        <v>-871725.31999999983</v>
      </c>
      <c r="Y20">
        <v>-1727750.2399999998</v>
      </c>
      <c r="Z20">
        <v>-983379.95999999985</v>
      </c>
    </row>
    <row r="21" spans="3:26" x14ac:dyDescent="0.25">
      <c r="C21">
        <v>975683.08000000007</v>
      </c>
      <c r="D21">
        <v>2016230.84</v>
      </c>
      <c r="E21">
        <v>-464406.75999999966</v>
      </c>
      <c r="F21">
        <v>1774239.4000000001</v>
      </c>
      <c r="G21">
        <v>1463046.9600000002</v>
      </c>
      <c r="H21">
        <v>4631414.04</v>
      </c>
      <c r="I21">
        <v>3701695.24</v>
      </c>
      <c r="J21">
        <v>1253747.9200000004</v>
      </c>
      <c r="K21">
        <v>3963521.9600000004</v>
      </c>
      <c r="L21">
        <v>-334494.16000000015</v>
      </c>
      <c r="M21">
        <v>1909152.9999999998</v>
      </c>
      <c r="N21">
        <v>-830754.00000000012</v>
      </c>
      <c r="O21">
        <v>-599842.64000000025</v>
      </c>
      <c r="P21">
        <v>16940.360000000219</v>
      </c>
      <c r="Q21">
        <v>-1327300.08</v>
      </c>
      <c r="R21">
        <v>-298515.39999999979</v>
      </c>
      <c r="S21">
        <v>639266.08000000007</v>
      </c>
      <c r="T21">
        <v>1196145.48</v>
      </c>
      <c r="U21">
        <v>3682537.08</v>
      </c>
      <c r="V21">
        <v>662071.68000000017</v>
      </c>
      <c r="W21">
        <v>3902711.0799999991</v>
      </c>
      <c r="X21">
        <v>3929182.8400000003</v>
      </c>
      <c r="Y21">
        <v>3197920.16</v>
      </c>
      <c r="Z21">
        <v>-364149.12</v>
      </c>
    </row>
    <row r="22" spans="3:26" x14ac:dyDescent="0.25">
      <c r="C22">
        <v>3132942.08</v>
      </c>
      <c r="D22">
        <v>2016031.52</v>
      </c>
      <c r="E22">
        <v>-1977410.1600000001</v>
      </c>
      <c r="F22">
        <v>4220930.6800000006</v>
      </c>
      <c r="G22">
        <v>3636427.28</v>
      </c>
      <c r="H22">
        <v>-896645.1599999998</v>
      </c>
      <c r="I22">
        <v>1003113.96</v>
      </c>
      <c r="J22">
        <v>2411127.7999999998</v>
      </c>
      <c r="K22">
        <v>772324.16000000027</v>
      </c>
      <c r="L22">
        <v>395012.16000000009</v>
      </c>
      <c r="M22">
        <v>-456271.2799999998</v>
      </c>
      <c r="N22">
        <v>1145113.6400000001</v>
      </c>
      <c r="O22">
        <v>-982518.03999999992</v>
      </c>
      <c r="P22">
        <v>3710656.0799999996</v>
      </c>
      <c r="Q22">
        <v>-509529.71999999974</v>
      </c>
      <c r="R22">
        <v>2534294.7200000002</v>
      </c>
      <c r="S22">
        <v>2274579.8400000003</v>
      </c>
      <c r="T22">
        <v>3678180.5200000005</v>
      </c>
      <c r="U22">
        <v>2611794.96</v>
      </c>
      <c r="V22">
        <v>1869303.8000000003</v>
      </c>
      <c r="W22">
        <v>766059.64000000036</v>
      </c>
      <c r="X22">
        <v>109852.47999999992</v>
      </c>
      <c r="Y22">
        <v>2311188.2400000002</v>
      </c>
      <c r="Z22">
        <v>2318057.16</v>
      </c>
    </row>
    <row r="23" spans="3:26" x14ac:dyDescent="0.25">
      <c r="C23">
        <v>1240635.7600000002</v>
      </c>
      <c r="D23">
        <v>1928927.4800000004</v>
      </c>
      <c r="E23">
        <v>2922314.3200000003</v>
      </c>
      <c r="F23">
        <v>4635958.5999999996</v>
      </c>
      <c r="G23">
        <v>2054748.3600000003</v>
      </c>
      <c r="H23">
        <v>4227300.3600000003</v>
      </c>
      <c r="I23">
        <v>4196391.8000000007</v>
      </c>
      <c r="J23">
        <v>2090120.8400000003</v>
      </c>
      <c r="K23">
        <v>-1323388.9999999998</v>
      </c>
      <c r="L23">
        <v>3670130.6400000006</v>
      </c>
      <c r="M23">
        <v>-1367229.4799999997</v>
      </c>
      <c r="N23">
        <v>118912.56</v>
      </c>
      <c r="O23">
        <v>951355.87999999989</v>
      </c>
      <c r="P23">
        <v>2915765</v>
      </c>
      <c r="Q23">
        <v>4645033.8000000007</v>
      </c>
      <c r="R23">
        <v>2121369.1199999996</v>
      </c>
      <c r="S23">
        <v>3951718.6399999997</v>
      </c>
      <c r="T23">
        <v>3645821.7199999997</v>
      </c>
      <c r="U23">
        <v>4647067.5199999996</v>
      </c>
      <c r="V23">
        <v>2326178.56</v>
      </c>
      <c r="W23">
        <v>2701574.84</v>
      </c>
      <c r="X23">
        <v>-1102821.76</v>
      </c>
      <c r="Y23">
        <v>3653173.8000000003</v>
      </c>
      <c r="Z23">
        <v>3961342.2</v>
      </c>
    </row>
    <row r="24" spans="3:26" x14ac:dyDescent="0.25">
      <c r="C24">
        <v>111459.87999999977</v>
      </c>
      <c r="D24">
        <v>2384919.08</v>
      </c>
      <c r="E24">
        <v>-858178.35999999975</v>
      </c>
      <c r="F24">
        <v>1989178.1600000001</v>
      </c>
      <c r="G24">
        <v>-1270107.5999999996</v>
      </c>
      <c r="H24">
        <v>-1320095.44</v>
      </c>
      <c r="I24">
        <v>1911510.52</v>
      </c>
      <c r="J24">
        <v>-674187.16</v>
      </c>
      <c r="K24">
        <v>-714069.11999999988</v>
      </c>
      <c r="L24">
        <v>3958060.4</v>
      </c>
      <c r="M24">
        <v>286363.92000000004</v>
      </c>
      <c r="N24">
        <v>-525762.31999999995</v>
      </c>
      <c r="O24">
        <v>655547.27999999991</v>
      </c>
      <c r="P24">
        <v>778527.28</v>
      </c>
      <c r="Q24">
        <v>4192863.04</v>
      </c>
      <c r="R24">
        <v>-492562.64</v>
      </c>
      <c r="S24">
        <v>-626131.03999999969</v>
      </c>
      <c r="T24">
        <v>3619166.2</v>
      </c>
      <c r="U24">
        <v>2049036.44</v>
      </c>
      <c r="V24">
        <v>1050418.92</v>
      </c>
      <c r="W24">
        <v>-739016.40000000014</v>
      </c>
      <c r="X24">
        <v>2065728.3200000003</v>
      </c>
      <c r="Y24">
        <v>2895304.5599999996</v>
      </c>
      <c r="Z24">
        <v>1216216.4000000004</v>
      </c>
    </row>
    <row r="25" spans="3:26" x14ac:dyDescent="0.25">
      <c r="C25">
        <v>246202.96000000002</v>
      </c>
      <c r="D25">
        <v>2016990.6800000002</v>
      </c>
      <c r="E25">
        <v>1615626.6</v>
      </c>
      <c r="F25">
        <v>547585.76</v>
      </c>
      <c r="G25">
        <v>3918350.5999999996</v>
      </c>
      <c r="H25">
        <v>4207450.5200000005</v>
      </c>
      <c r="I25">
        <v>-1216955.2400000002</v>
      </c>
      <c r="J25">
        <v>-418422.07999999996</v>
      </c>
      <c r="K25">
        <v>2557829.52</v>
      </c>
      <c r="L25">
        <v>2861816.5600000005</v>
      </c>
      <c r="M25">
        <v>2627871.16</v>
      </c>
      <c r="N25">
        <v>-1083343.7200000002</v>
      </c>
      <c r="O25">
        <v>4647192.6399999997</v>
      </c>
      <c r="P25">
        <v>3223899.4399999995</v>
      </c>
      <c r="Q25">
        <v>2422732.7600000002</v>
      </c>
      <c r="R25">
        <v>2337036.8000000003</v>
      </c>
      <c r="S25">
        <v>-1592422.48</v>
      </c>
      <c r="T25">
        <v>4198772.4800000004</v>
      </c>
      <c r="U25">
        <v>2344195.16</v>
      </c>
      <c r="V25">
        <v>-289397.19999999972</v>
      </c>
      <c r="W25">
        <v>3217056.64</v>
      </c>
      <c r="X25">
        <v>2033770.6000000003</v>
      </c>
      <c r="Y25">
        <v>3949432.5599999996</v>
      </c>
      <c r="Z25">
        <v>2012954.3200000003</v>
      </c>
    </row>
    <row r="26" spans="3:26" x14ac:dyDescent="0.25">
      <c r="C26">
        <v>2900332.4</v>
      </c>
      <c r="D26">
        <v>600249.11999999988</v>
      </c>
      <c r="E26">
        <v>1139498.8400000003</v>
      </c>
      <c r="F26">
        <v>2278238.4</v>
      </c>
      <c r="G26">
        <v>3951825.8</v>
      </c>
      <c r="H26">
        <v>712165.6399999999</v>
      </c>
      <c r="I26">
        <v>1237470.6000000003</v>
      </c>
      <c r="J26">
        <v>2247531.2799999998</v>
      </c>
      <c r="K26">
        <v>2646761.2000000002</v>
      </c>
      <c r="L26">
        <v>2623432.48</v>
      </c>
      <c r="M26">
        <v>4206729.3600000003</v>
      </c>
      <c r="N26">
        <v>3665558.4799999995</v>
      </c>
      <c r="O26">
        <v>2107640.52</v>
      </c>
      <c r="P26">
        <v>4207248.5600000005</v>
      </c>
      <c r="Q26">
        <v>2432445.84</v>
      </c>
      <c r="R26">
        <v>3647459.04</v>
      </c>
      <c r="S26">
        <v>2216125.8400000003</v>
      </c>
      <c r="T26">
        <v>736035.95999999985</v>
      </c>
      <c r="U26">
        <v>-1268900.6000000001</v>
      </c>
      <c r="V26">
        <v>-940926.27999999991</v>
      </c>
      <c r="W26">
        <v>180243.96000000025</v>
      </c>
      <c r="X26">
        <v>2628688.8000000003</v>
      </c>
      <c r="Y26">
        <v>2034565.52</v>
      </c>
      <c r="Z26">
        <v>-816287.44</v>
      </c>
    </row>
    <row r="27" spans="3:26" x14ac:dyDescent="0.25">
      <c r="C27">
        <v>4194372.8</v>
      </c>
      <c r="D27">
        <v>1436019.8399999999</v>
      </c>
      <c r="E27">
        <v>857743.20000000019</v>
      </c>
      <c r="F27">
        <v>2271071.3600000003</v>
      </c>
      <c r="G27">
        <v>4210307.4800000004</v>
      </c>
      <c r="H27">
        <v>107391.95999999996</v>
      </c>
      <c r="I27">
        <v>4209822.5200000005</v>
      </c>
      <c r="J27">
        <v>2904348.88</v>
      </c>
      <c r="K27">
        <v>1524468.56</v>
      </c>
      <c r="L27">
        <v>1183987.7200000002</v>
      </c>
      <c r="M27">
        <v>-1040105.8799999998</v>
      </c>
      <c r="N27">
        <v>1288062.3200000003</v>
      </c>
      <c r="O27">
        <v>2371382.4799999995</v>
      </c>
      <c r="P27">
        <v>1293779.8399999999</v>
      </c>
      <c r="Q27">
        <v>1222444.8799999999</v>
      </c>
      <c r="R27">
        <v>2890389.3600000003</v>
      </c>
      <c r="S27">
        <v>3950027</v>
      </c>
      <c r="T27">
        <v>2914014.84</v>
      </c>
      <c r="U27">
        <v>3961778.8800000004</v>
      </c>
      <c r="V27">
        <v>1255899.04</v>
      </c>
      <c r="W27">
        <v>-1611548.6399999997</v>
      </c>
      <c r="X27">
        <v>588189.92000000016</v>
      </c>
      <c r="Y27">
        <v>674811.76</v>
      </c>
      <c r="Z27">
        <v>740933.6</v>
      </c>
    </row>
    <row r="28" spans="3:26" x14ac:dyDescent="0.25">
      <c r="C28">
        <v>4634702.5999999996</v>
      </c>
      <c r="D28">
        <v>638410.92000000016</v>
      </c>
      <c r="E28">
        <v>3895779.4</v>
      </c>
      <c r="F28">
        <v>685334.24000000022</v>
      </c>
      <c r="G28">
        <v>658285.36000000022</v>
      </c>
      <c r="H28">
        <v>-507753.75999999978</v>
      </c>
      <c r="I28">
        <v>544478.12000000023</v>
      </c>
      <c r="J28">
        <v>3962408.84</v>
      </c>
      <c r="K28">
        <v>2339361.88</v>
      </c>
      <c r="L28">
        <v>-1059665.52</v>
      </c>
      <c r="M28">
        <v>1001634.56</v>
      </c>
      <c r="N28">
        <v>3942814.24</v>
      </c>
      <c r="O28">
        <v>3674243.92</v>
      </c>
      <c r="P28">
        <v>2346498.16</v>
      </c>
      <c r="Q28">
        <v>3937085.4000000004</v>
      </c>
      <c r="R28">
        <v>4224813.16</v>
      </c>
      <c r="S28">
        <v>-1241059.2399999998</v>
      </c>
      <c r="T28">
        <v>-988041.52</v>
      </c>
      <c r="U28">
        <v>2055302.3199999998</v>
      </c>
      <c r="V28">
        <v>3181902.08</v>
      </c>
      <c r="W28">
        <v>2615125.16</v>
      </c>
      <c r="X28">
        <v>1057397.48</v>
      </c>
      <c r="Y28">
        <v>2285303.96</v>
      </c>
      <c r="Z28">
        <v>675069.72</v>
      </c>
    </row>
    <row r="29" spans="3:26" x14ac:dyDescent="0.25">
      <c r="C29">
        <v>630160.23999999976</v>
      </c>
      <c r="D29">
        <v>4193148.8000000003</v>
      </c>
      <c r="E29">
        <v>3648822.52</v>
      </c>
      <c r="F29">
        <v>718724.56000000029</v>
      </c>
      <c r="G29">
        <v>2040102.1199999999</v>
      </c>
      <c r="H29">
        <v>1033278.8400000003</v>
      </c>
      <c r="I29">
        <v>2053560.08</v>
      </c>
      <c r="J29">
        <v>-855909.52</v>
      </c>
      <c r="K29">
        <v>4210593.88</v>
      </c>
      <c r="L29">
        <v>4190112.6</v>
      </c>
      <c r="M29">
        <v>3920511.7600000002</v>
      </c>
      <c r="N29">
        <v>3667077</v>
      </c>
      <c r="O29">
        <v>-860775.35999999987</v>
      </c>
      <c r="P29">
        <v>98506.120000000112</v>
      </c>
      <c r="Q29">
        <v>-5270.0399999999208</v>
      </c>
      <c r="R29">
        <v>3649039.92</v>
      </c>
      <c r="S29">
        <v>1180598.6400000001</v>
      </c>
      <c r="T29">
        <v>-1409764.3199999998</v>
      </c>
      <c r="U29">
        <v>847211.52000000002</v>
      </c>
      <c r="V29">
        <v>-970551.83999999973</v>
      </c>
      <c r="W29">
        <v>3699878.08</v>
      </c>
      <c r="X29">
        <v>3954188.2800000003</v>
      </c>
      <c r="Y29">
        <v>-1019381.1200000002</v>
      </c>
      <c r="Z29">
        <v>654040.60000000009</v>
      </c>
    </row>
    <row r="30" spans="3:26" x14ac:dyDescent="0.25">
      <c r="C30">
        <v>2196798.6</v>
      </c>
      <c r="D30">
        <v>3693442.44</v>
      </c>
      <c r="E30">
        <v>-1324728.2399999998</v>
      </c>
      <c r="F30">
        <v>4207536.12</v>
      </c>
      <c r="G30">
        <v>3680026.96</v>
      </c>
      <c r="H30">
        <v>-847076.43999999971</v>
      </c>
      <c r="I30">
        <v>3943643.9200000004</v>
      </c>
      <c r="J30">
        <v>2575381.96</v>
      </c>
      <c r="K30">
        <v>770954.6399999999</v>
      </c>
      <c r="L30">
        <v>1590811.16</v>
      </c>
      <c r="M30">
        <v>3925360.8000000003</v>
      </c>
      <c r="N30">
        <v>4190527.28</v>
      </c>
      <c r="O30">
        <v>4655000.84</v>
      </c>
      <c r="P30">
        <v>-1355752.6</v>
      </c>
      <c r="Q30">
        <v>-1065770.44</v>
      </c>
      <c r="R30">
        <v>3204973.3600000003</v>
      </c>
      <c r="S30">
        <v>3683265.6399999997</v>
      </c>
      <c r="T30">
        <v>4196542.2</v>
      </c>
      <c r="U30">
        <v>-1667796.9599999995</v>
      </c>
      <c r="V30">
        <v>-1152988.8399999999</v>
      </c>
      <c r="W30">
        <v>2641766.96</v>
      </c>
      <c r="X30">
        <v>-1191550.96</v>
      </c>
      <c r="Y30">
        <v>20644.760000000126</v>
      </c>
      <c r="Z30">
        <v>4189392.9200000004</v>
      </c>
    </row>
    <row r="31" spans="3:26" x14ac:dyDescent="0.25">
      <c r="C31">
        <v>1039154.56</v>
      </c>
      <c r="D31">
        <v>154373.20000000001</v>
      </c>
      <c r="E31">
        <v>1208808.6399999999</v>
      </c>
      <c r="F31">
        <v>-880604.99999999988</v>
      </c>
      <c r="G31">
        <v>2895104.2800000003</v>
      </c>
      <c r="H31">
        <v>3690339.04</v>
      </c>
      <c r="I31">
        <v>2319312.3199999998</v>
      </c>
      <c r="J31">
        <v>877161.96000000008</v>
      </c>
      <c r="K31">
        <v>-401359.35999999975</v>
      </c>
      <c r="L31">
        <v>3948396.6799999997</v>
      </c>
      <c r="M31">
        <v>662964.68000000017</v>
      </c>
      <c r="N31">
        <v>-1271321.4399999995</v>
      </c>
      <c r="O31">
        <v>-1750124.88</v>
      </c>
      <c r="P31">
        <v>-393314.43999999994</v>
      </c>
      <c r="Q31">
        <v>1978423.9200000004</v>
      </c>
      <c r="R31">
        <v>-688139.4800000001</v>
      </c>
      <c r="S31">
        <v>858380.44000000018</v>
      </c>
      <c r="T31">
        <v>-1277179.92</v>
      </c>
      <c r="U31">
        <v>2681182.7600000002</v>
      </c>
      <c r="V31">
        <v>323086.88</v>
      </c>
      <c r="W31">
        <v>-807450.76000000013</v>
      </c>
      <c r="X31">
        <v>620905.92000000016</v>
      </c>
      <c r="Y31">
        <v>-1892031.1199999996</v>
      </c>
      <c r="Z31">
        <v>1115936.6000000001</v>
      </c>
    </row>
    <row r="32" spans="3:26" x14ac:dyDescent="0.25">
      <c r="C32">
        <v>4189327.2</v>
      </c>
      <c r="D32">
        <v>-389610.4800000001</v>
      </c>
      <c r="E32">
        <v>3674345.5999999996</v>
      </c>
      <c r="F32">
        <v>4638175.5599999996</v>
      </c>
      <c r="G32">
        <v>3193575.3200000003</v>
      </c>
      <c r="H32">
        <v>-1201742.1199999996</v>
      </c>
      <c r="I32">
        <v>4187820.72</v>
      </c>
      <c r="J32">
        <v>3670684.72</v>
      </c>
      <c r="K32">
        <v>3212082.92</v>
      </c>
      <c r="L32">
        <v>-500318.20000000007</v>
      </c>
      <c r="M32">
        <v>-1109291.5199999996</v>
      </c>
      <c r="N32">
        <v>2543190.04</v>
      </c>
      <c r="O32">
        <v>-451346.16000000003</v>
      </c>
      <c r="P32">
        <v>-1540327.08</v>
      </c>
      <c r="Q32">
        <v>926246.56000000041</v>
      </c>
      <c r="R32">
        <v>3679841.6</v>
      </c>
      <c r="S32">
        <v>2197191.52</v>
      </c>
      <c r="T32">
        <v>2147513.48</v>
      </c>
      <c r="U32">
        <v>3169474.08</v>
      </c>
      <c r="V32">
        <v>1704492.2800000003</v>
      </c>
      <c r="W32">
        <v>941955.19999999984</v>
      </c>
      <c r="X32">
        <v>4186856.2800000003</v>
      </c>
      <c r="Y32">
        <v>-562502.39999999991</v>
      </c>
      <c r="Z32">
        <v>921539.64000000013</v>
      </c>
    </row>
    <row r="33" spans="3:26" x14ac:dyDescent="0.25">
      <c r="C33">
        <v>1688109.7199999997</v>
      </c>
      <c r="D33" s="39">
        <v>-512154.59999999974</v>
      </c>
      <c r="E33" s="39">
        <v>2324111.6800000002</v>
      </c>
      <c r="F33" s="39">
        <v>850793.96</v>
      </c>
      <c r="G33" s="39">
        <v>-539910.27999999991</v>
      </c>
      <c r="H33" s="39">
        <v>3645744.4800000004</v>
      </c>
      <c r="I33" s="39">
        <v>-1866661.5199999998</v>
      </c>
      <c r="J33" s="39">
        <v>1184471.52</v>
      </c>
      <c r="K33">
        <v>4641707.2000000011</v>
      </c>
      <c r="L33">
        <v>846252.60000000009</v>
      </c>
      <c r="M33">
        <v>617970.44000000018</v>
      </c>
      <c r="N33">
        <v>-849578.44000000018</v>
      </c>
      <c r="O33">
        <v>3186724.2800000003</v>
      </c>
      <c r="P33">
        <v>2604929.56</v>
      </c>
      <c r="Q33">
        <v>994019.24000000022</v>
      </c>
      <c r="R33">
        <v>-1726343.84</v>
      </c>
      <c r="S33">
        <v>697739.00000000012</v>
      </c>
      <c r="T33">
        <v>4170361.6</v>
      </c>
      <c r="U33">
        <v>234431.56000000006</v>
      </c>
      <c r="V33">
        <v>3720245.2</v>
      </c>
      <c r="W33">
        <v>3951647.2</v>
      </c>
      <c r="X33">
        <v>2589689.6</v>
      </c>
      <c r="Y33">
        <v>3935255.2399999993</v>
      </c>
      <c r="Z33">
        <v>-1233294.48</v>
      </c>
    </row>
    <row r="34" spans="3:26" x14ac:dyDescent="0.25">
      <c r="C34">
        <v>1216153</v>
      </c>
      <c r="D34" s="39">
        <v>2667339.8000000003</v>
      </c>
      <c r="E34" s="39">
        <v>2344497.84</v>
      </c>
      <c r="F34" s="39">
        <v>3186280</v>
      </c>
      <c r="G34" s="39">
        <v>-1710785.1599999997</v>
      </c>
      <c r="H34" s="39">
        <v>-7537.9199999998091</v>
      </c>
      <c r="I34" s="39">
        <v>3698908.7600000002</v>
      </c>
      <c r="J34" s="39">
        <v>-1098785.3999999999</v>
      </c>
      <c r="K34">
        <v>2327102.9600000004</v>
      </c>
      <c r="L34">
        <v>347273.39999999985</v>
      </c>
      <c r="M34">
        <v>2540085.16</v>
      </c>
      <c r="N34">
        <v>2329174.2000000002</v>
      </c>
      <c r="O34">
        <v>-739615.84</v>
      </c>
      <c r="P34">
        <v>-799975.16</v>
      </c>
      <c r="Q34">
        <v>2304880.7999999998</v>
      </c>
      <c r="R34">
        <v>2303554.84</v>
      </c>
      <c r="S34">
        <v>1296355.48</v>
      </c>
      <c r="T34">
        <v>-846636.91999999993</v>
      </c>
      <c r="U34">
        <v>2927781.16</v>
      </c>
      <c r="V34">
        <v>-83936.679999999818</v>
      </c>
      <c r="W34">
        <v>4198008.08</v>
      </c>
      <c r="X34">
        <v>2364590.5199999996</v>
      </c>
      <c r="Y34">
        <v>900699.08000000031</v>
      </c>
      <c r="Z34">
        <v>-867943.24</v>
      </c>
    </row>
    <row r="35" spans="3:26" x14ac:dyDescent="0.25">
      <c r="C35">
        <v>2644747.56</v>
      </c>
      <c r="D35" s="39">
        <v>3657103.0000000005</v>
      </c>
      <c r="E35" s="39">
        <v>-573589.96</v>
      </c>
      <c r="F35" s="39">
        <v>-98849.759999999893</v>
      </c>
      <c r="G35" s="39">
        <v>868465.12000000023</v>
      </c>
      <c r="H35" s="39">
        <v>1885848.8000000003</v>
      </c>
      <c r="I35" s="39">
        <v>2068583.9199999997</v>
      </c>
      <c r="J35" s="39">
        <v>3913292.6399999997</v>
      </c>
      <c r="K35">
        <v>4218763.28</v>
      </c>
      <c r="L35">
        <v>1745795.6399999997</v>
      </c>
      <c r="M35">
        <v>130717.47999999986</v>
      </c>
      <c r="N35">
        <v>3888164.6000000006</v>
      </c>
      <c r="O35">
        <v>-1475893.16</v>
      </c>
      <c r="P35">
        <v>673100.68</v>
      </c>
      <c r="Q35">
        <v>1791611.12</v>
      </c>
      <c r="R35">
        <v>-1542679.8399999999</v>
      </c>
      <c r="S35">
        <v>3162961.32</v>
      </c>
      <c r="T35">
        <v>-1111587.52</v>
      </c>
      <c r="U35">
        <v>950735.76</v>
      </c>
      <c r="V35">
        <v>574348.56000000017</v>
      </c>
      <c r="W35">
        <v>-698216.64000000013</v>
      </c>
      <c r="X35">
        <v>4216978.4399999995</v>
      </c>
      <c r="Y35">
        <v>3701748.4</v>
      </c>
      <c r="Z35">
        <v>-359513.87999999977</v>
      </c>
    </row>
    <row r="36" spans="3:26" x14ac:dyDescent="0.25">
      <c r="C36">
        <v>1208893.2</v>
      </c>
      <c r="D36" s="39">
        <v>2352334.2400000002</v>
      </c>
      <c r="E36" s="39">
        <v>-1681268.4399999997</v>
      </c>
      <c r="F36" s="39">
        <v>763698.8400000002</v>
      </c>
      <c r="G36" s="39">
        <v>3242408.4</v>
      </c>
      <c r="H36" s="39">
        <v>-578823.56000000006</v>
      </c>
      <c r="I36" s="39">
        <v>763929.9600000002</v>
      </c>
      <c r="J36" s="39">
        <v>-655694.27999999991</v>
      </c>
      <c r="K36">
        <v>1789286.68</v>
      </c>
      <c r="L36">
        <v>2670097.96</v>
      </c>
      <c r="M36">
        <v>-802784.24</v>
      </c>
      <c r="N36">
        <v>1060087.5999999999</v>
      </c>
      <c r="O36">
        <v>2027971.2799999998</v>
      </c>
      <c r="P36">
        <v>251451.8000000004</v>
      </c>
      <c r="Q36">
        <v>-970623.27999999968</v>
      </c>
      <c r="R36">
        <v>602888.80000000005</v>
      </c>
      <c r="S36">
        <v>4217983.6800000006</v>
      </c>
      <c r="T36">
        <v>3698936.5600000005</v>
      </c>
      <c r="U36">
        <v>884694.64000000025</v>
      </c>
      <c r="V36">
        <v>2928196.92</v>
      </c>
      <c r="W36">
        <v>590536.03999999992</v>
      </c>
      <c r="X36">
        <v>3915872.4</v>
      </c>
      <c r="Y36">
        <v>1650754</v>
      </c>
      <c r="Z36">
        <v>3873681.1200000006</v>
      </c>
    </row>
    <row r="37" spans="3:26" x14ac:dyDescent="0.25">
      <c r="C37">
        <v>4194910.28</v>
      </c>
      <c r="D37" s="39">
        <v>158711.60000000003</v>
      </c>
      <c r="E37" s="39">
        <v>-756761.2</v>
      </c>
      <c r="F37" s="44">
        <v>594841.55999999982</v>
      </c>
      <c r="G37" s="44">
        <v>-1373118.9600000002</v>
      </c>
      <c r="H37" s="39">
        <v>-1302222.56</v>
      </c>
      <c r="I37" s="39">
        <v>-864264.08</v>
      </c>
      <c r="J37" s="39">
        <v>3201393.7600000002</v>
      </c>
      <c r="K37">
        <v>3648723.2800000003</v>
      </c>
      <c r="L37">
        <v>1254002.08</v>
      </c>
      <c r="M37">
        <v>2337816.2000000002</v>
      </c>
      <c r="N37">
        <v>2377061.96</v>
      </c>
      <c r="O37">
        <v>-969339.79999999993</v>
      </c>
      <c r="P37">
        <v>937219.76</v>
      </c>
      <c r="Q37">
        <v>2044701.96</v>
      </c>
      <c r="R37">
        <v>1771078.28</v>
      </c>
      <c r="S37">
        <v>4639564</v>
      </c>
      <c r="T37">
        <v>3166362.1199999996</v>
      </c>
      <c r="U37">
        <v>3955152.72</v>
      </c>
      <c r="V37">
        <v>3940144.64</v>
      </c>
      <c r="W37">
        <v>643561.75999999978</v>
      </c>
      <c r="X37">
        <v>-322821.56000000006</v>
      </c>
      <c r="Y37">
        <v>3202152.7600000002</v>
      </c>
      <c r="Z37">
        <v>2549369.6</v>
      </c>
    </row>
    <row r="38" spans="3:26" x14ac:dyDescent="0.25">
      <c r="C38">
        <v>1100160.3200000003</v>
      </c>
      <c r="D38" s="39">
        <v>-470150.91999999993</v>
      </c>
      <c r="E38" s="39">
        <v>483130.59999999986</v>
      </c>
      <c r="F38" s="37">
        <v>-1396885.7200000002</v>
      </c>
      <c r="G38" s="38">
        <v>2353445.88</v>
      </c>
      <c r="H38" s="39">
        <v>2245949.8800000004</v>
      </c>
      <c r="I38" s="39">
        <v>1722457.9200000002</v>
      </c>
      <c r="J38" s="39">
        <v>3987304.28</v>
      </c>
      <c r="K38">
        <v>4632592.8</v>
      </c>
      <c r="L38" s="3">
        <v>1852436.48</v>
      </c>
      <c r="M38">
        <v>-128626.87999999977</v>
      </c>
      <c r="N38" s="3">
        <v>2001592.4400000004</v>
      </c>
      <c r="O38">
        <v>572774.87999999989</v>
      </c>
      <c r="P38">
        <v>1041356.3999999998</v>
      </c>
      <c r="Q38">
        <v>-477760.31999999983</v>
      </c>
      <c r="R38">
        <v>1692874</v>
      </c>
      <c r="S38">
        <v>773798.60000000009</v>
      </c>
      <c r="T38">
        <v>-1032698.6400000004</v>
      </c>
      <c r="U38">
        <v>807381.87999999989</v>
      </c>
      <c r="V38">
        <v>1100218.52</v>
      </c>
      <c r="W38">
        <v>2583882.56</v>
      </c>
      <c r="X38">
        <v>2303712.64</v>
      </c>
      <c r="Y38">
        <v>3676450.64</v>
      </c>
      <c r="Z38">
        <v>2407091.44</v>
      </c>
    </row>
    <row r="39" spans="3:26" x14ac:dyDescent="0.25">
      <c r="C39">
        <v>107472.03999999986</v>
      </c>
      <c r="D39" s="39">
        <v>2978041.24</v>
      </c>
      <c r="E39" s="39">
        <v>-917814.8400000002</v>
      </c>
      <c r="F39" s="37">
        <v>-914357.08000000007</v>
      </c>
      <c r="G39" s="38">
        <v>2327320.96</v>
      </c>
      <c r="H39" s="39">
        <v>925567.88000000012</v>
      </c>
      <c r="I39" s="39">
        <v>-705433.76</v>
      </c>
      <c r="J39" s="39">
        <v>2584556.92</v>
      </c>
      <c r="K39">
        <v>-1506980.9199999995</v>
      </c>
      <c r="L39" s="3">
        <v>2962529.28</v>
      </c>
      <c r="M39">
        <v>-801600.71999999974</v>
      </c>
      <c r="N39" s="3">
        <v>1297762.92</v>
      </c>
      <c r="O39">
        <v>955142.20000000019</v>
      </c>
      <c r="P39">
        <v>3927690</v>
      </c>
      <c r="Q39">
        <v>2602611.2400000002</v>
      </c>
      <c r="R39">
        <v>1745056.6</v>
      </c>
      <c r="S39">
        <v>4622697.2</v>
      </c>
      <c r="T39">
        <v>2688205</v>
      </c>
      <c r="U39">
        <v>1243029.7200000002</v>
      </c>
      <c r="V39">
        <v>1136087.68</v>
      </c>
      <c r="W39">
        <v>913798.60000000009</v>
      </c>
      <c r="X39">
        <v>4648935.5200000005</v>
      </c>
      <c r="Y39">
        <v>3127722.9599999995</v>
      </c>
      <c r="Z39">
        <v>1288354.6400000001</v>
      </c>
    </row>
    <row r="40" spans="3:26" x14ac:dyDescent="0.25">
      <c r="C40">
        <v>4206556.88</v>
      </c>
      <c r="D40" s="39">
        <v>2941966.0000000005</v>
      </c>
      <c r="E40" s="39">
        <v>3666694.76</v>
      </c>
      <c r="F40" s="37">
        <v>786127.56000000017</v>
      </c>
      <c r="G40" s="38">
        <v>2319087.2000000002</v>
      </c>
      <c r="H40" s="39">
        <v>2654552.04</v>
      </c>
      <c r="I40" s="39">
        <v>916190.52000000014</v>
      </c>
      <c r="J40" s="39">
        <v>936882.96</v>
      </c>
      <c r="K40">
        <v>1021891.6799999999</v>
      </c>
      <c r="L40" s="3">
        <v>2633239.4</v>
      </c>
      <c r="M40">
        <v>-905754.2799999998</v>
      </c>
      <c r="N40" s="3">
        <v>2679718.2400000002</v>
      </c>
      <c r="O40">
        <v>41203.760000000126</v>
      </c>
      <c r="P40">
        <v>3945287.36</v>
      </c>
      <c r="Q40">
        <v>-925023.08</v>
      </c>
      <c r="R40">
        <v>2624924.6800000006</v>
      </c>
      <c r="S40">
        <v>3690461.5200000005</v>
      </c>
      <c r="T40">
        <v>2033811.08</v>
      </c>
      <c r="U40">
        <v>3905447.8800000004</v>
      </c>
      <c r="V40">
        <v>3942397.3200000003</v>
      </c>
      <c r="W40">
        <v>1249471.48</v>
      </c>
      <c r="X40">
        <v>847014.3600000001</v>
      </c>
      <c r="Y40">
        <v>1973502.6</v>
      </c>
      <c r="Z40">
        <v>-823615.83999999985</v>
      </c>
    </row>
    <row r="41" spans="3:26" x14ac:dyDescent="0.25">
      <c r="C41">
        <v>-10878.080000000075</v>
      </c>
      <c r="D41" s="39">
        <v>673357.28000000026</v>
      </c>
      <c r="E41" s="39">
        <v>2385907.08</v>
      </c>
      <c r="F41" s="37">
        <v>-1522645.92</v>
      </c>
      <c r="G41" s="38">
        <v>1445595.3199999998</v>
      </c>
      <c r="H41" s="39">
        <v>3934308.12</v>
      </c>
      <c r="I41" s="39">
        <v>-670452.31999999995</v>
      </c>
      <c r="J41" s="39">
        <v>2946859.64</v>
      </c>
      <c r="K41">
        <v>2647740.12</v>
      </c>
      <c r="L41" s="3">
        <v>1385662.9600000002</v>
      </c>
      <c r="M41">
        <v>4197297.28</v>
      </c>
      <c r="N41" s="3">
        <v>-793803.19999999984</v>
      </c>
      <c r="O41">
        <v>-1237165.76</v>
      </c>
      <c r="P41">
        <v>2530758.44</v>
      </c>
      <c r="Q41">
        <v>852731.00000000012</v>
      </c>
      <c r="R41">
        <v>417068.36000000028</v>
      </c>
      <c r="S41">
        <v>281720.32000000024</v>
      </c>
      <c r="T41">
        <v>874579.55999999982</v>
      </c>
      <c r="U41">
        <v>71478.800000000163</v>
      </c>
      <c r="V41">
        <v>1522455.3599999999</v>
      </c>
      <c r="W41">
        <v>552482.24</v>
      </c>
      <c r="X41">
        <v>2056251.8800000001</v>
      </c>
      <c r="Y41">
        <v>1439607.2799999998</v>
      </c>
      <c r="Z41">
        <v>1084044.3599999999</v>
      </c>
    </row>
    <row r="42" spans="3:26" x14ac:dyDescent="0.25">
      <c r="C42">
        <v>1802647.8399999999</v>
      </c>
      <c r="D42" s="39">
        <v>1979855.04</v>
      </c>
      <c r="E42" s="39">
        <v>2659203.36</v>
      </c>
      <c r="F42" s="37">
        <v>-934495.8400000002</v>
      </c>
      <c r="G42" s="38">
        <v>2669710.84</v>
      </c>
      <c r="H42" s="39">
        <v>644905.48</v>
      </c>
      <c r="I42" s="39">
        <v>4183504.4000000004</v>
      </c>
      <c r="J42" s="39">
        <v>-1278136.9600000002</v>
      </c>
      <c r="K42">
        <v>3215699.2800000003</v>
      </c>
      <c r="L42" s="3">
        <v>2044033.6400000001</v>
      </c>
      <c r="M42">
        <v>249018.60000000021</v>
      </c>
      <c r="N42" s="3">
        <v>664913</v>
      </c>
      <c r="O42">
        <v>885620.32000000018</v>
      </c>
      <c r="P42">
        <v>2351078.4400000004</v>
      </c>
      <c r="Q42">
        <v>-1319692.3599999999</v>
      </c>
      <c r="R42">
        <v>1991718.92</v>
      </c>
      <c r="S42">
        <v>1602568.8400000003</v>
      </c>
      <c r="T42">
        <v>2888281.88</v>
      </c>
      <c r="U42">
        <v>1245082.56</v>
      </c>
      <c r="V42">
        <v>947569.04</v>
      </c>
      <c r="W42">
        <v>987390.76</v>
      </c>
      <c r="X42">
        <v>2274058.5199999996</v>
      </c>
      <c r="Y42">
        <v>4230957</v>
      </c>
      <c r="Z42">
        <v>1559241.4</v>
      </c>
    </row>
    <row r="43" spans="3:26" x14ac:dyDescent="0.25">
      <c r="C43">
        <v>4657614.2</v>
      </c>
      <c r="D43" s="39">
        <v>2503394.1199999996</v>
      </c>
      <c r="E43" s="39">
        <v>33914.840000000084</v>
      </c>
      <c r="F43" s="37">
        <v>2061311.3199999998</v>
      </c>
      <c r="G43" s="38">
        <v>4187058.12</v>
      </c>
      <c r="H43" s="39">
        <v>771284.04</v>
      </c>
      <c r="I43" s="39">
        <v>3184628.0000000005</v>
      </c>
      <c r="J43" s="39">
        <v>3895888.56</v>
      </c>
      <c r="K43">
        <v>2079161.36</v>
      </c>
      <c r="L43" s="3">
        <v>3932445.72</v>
      </c>
      <c r="M43">
        <v>1075904.6400000001</v>
      </c>
      <c r="N43" s="3">
        <v>-1472905.7600000002</v>
      </c>
      <c r="O43">
        <v>-1423113.6400000004</v>
      </c>
      <c r="P43">
        <v>1252520.56</v>
      </c>
      <c r="Q43">
        <v>1105969.32</v>
      </c>
      <c r="R43">
        <v>-1791308.28</v>
      </c>
      <c r="S43">
        <v>-333216.91999999993</v>
      </c>
      <c r="T43">
        <v>3909805.7200000007</v>
      </c>
      <c r="U43">
        <v>3203658.8000000003</v>
      </c>
      <c r="V43">
        <v>3186724.28</v>
      </c>
      <c r="W43">
        <v>478299.52000000014</v>
      </c>
      <c r="X43">
        <v>-905245.19999999984</v>
      </c>
      <c r="Y43">
        <v>4201762.28</v>
      </c>
      <c r="Z43">
        <v>3667535.96</v>
      </c>
    </row>
    <row r="44" spans="3:26" x14ac:dyDescent="0.25">
      <c r="C44">
        <v>287206.39999999979</v>
      </c>
      <c r="D44" s="39">
        <v>-652296.8400000002</v>
      </c>
      <c r="E44" s="39">
        <v>3669965.04</v>
      </c>
      <c r="F44" s="37">
        <v>-1513252.8399999996</v>
      </c>
      <c r="G44" s="38">
        <v>-1204673.92</v>
      </c>
      <c r="H44" s="39">
        <v>1071228.28</v>
      </c>
      <c r="I44" s="39">
        <v>577858.40000000014</v>
      </c>
      <c r="J44" s="39">
        <v>954265.36000000022</v>
      </c>
      <c r="K44">
        <v>-1642837.7200000002</v>
      </c>
      <c r="L44" s="3">
        <v>1181380.1600000001</v>
      </c>
      <c r="M44">
        <v>2368977.84</v>
      </c>
      <c r="N44" s="3">
        <v>-894122.35999999975</v>
      </c>
      <c r="O44">
        <v>4639992.6400000006</v>
      </c>
      <c r="P44">
        <v>3196147.16</v>
      </c>
      <c r="Q44">
        <v>921674.4</v>
      </c>
      <c r="R44">
        <v>-1381647.2399999998</v>
      </c>
      <c r="S44">
        <v>3719816.56</v>
      </c>
      <c r="T44">
        <v>4646680.4000000004</v>
      </c>
      <c r="U44">
        <v>2286196.96</v>
      </c>
      <c r="V44">
        <v>1964919.2400000002</v>
      </c>
      <c r="W44">
        <v>6272.2399999999907</v>
      </c>
      <c r="X44">
        <v>3123825.68</v>
      </c>
      <c r="Y44">
        <v>2398718.6</v>
      </c>
      <c r="Z44">
        <v>1855693.76</v>
      </c>
    </row>
    <row r="45" spans="3:26" x14ac:dyDescent="0.25">
      <c r="C45">
        <v>-1519173.4399999995</v>
      </c>
      <c r="D45" s="39">
        <v>1471789.8800000001</v>
      </c>
      <c r="E45" s="39">
        <v>3649565.6799999997</v>
      </c>
      <c r="F45" s="37">
        <v>1821587.6800000002</v>
      </c>
      <c r="G45" s="38">
        <v>2880552.2</v>
      </c>
      <c r="H45" s="39">
        <v>1995881.88</v>
      </c>
      <c r="I45" s="39">
        <v>-833914.8</v>
      </c>
      <c r="J45" s="39">
        <v>-959696.99999999988</v>
      </c>
      <c r="K45">
        <v>2349816.08</v>
      </c>
      <c r="L45" s="3">
        <v>3185152.6</v>
      </c>
      <c r="M45">
        <v>2430855.56</v>
      </c>
      <c r="N45" s="3">
        <v>-1201892.3200000003</v>
      </c>
      <c r="O45">
        <v>2357696.56</v>
      </c>
      <c r="P45">
        <v>1773524.04</v>
      </c>
      <c r="Q45">
        <v>-1385570.7199999995</v>
      </c>
      <c r="R45">
        <v>2899283.5199999996</v>
      </c>
      <c r="S45">
        <v>828083.19999999984</v>
      </c>
      <c r="T45">
        <v>4211322</v>
      </c>
      <c r="U45">
        <v>3981906.96</v>
      </c>
      <c r="V45">
        <v>1522341</v>
      </c>
      <c r="W45">
        <v>880219.28</v>
      </c>
      <c r="X45">
        <v>897484.80000000016</v>
      </c>
      <c r="Y45">
        <v>1423439.2400000002</v>
      </c>
      <c r="Z45">
        <v>-816952.27999999991</v>
      </c>
    </row>
    <row r="46" spans="3:26" x14ac:dyDescent="0.25">
      <c r="C46">
        <v>1300820.1600000001</v>
      </c>
      <c r="D46" s="39">
        <v>1222409.4800000002</v>
      </c>
      <c r="E46" s="39">
        <v>2919786.44</v>
      </c>
      <c r="F46" s="37">
        <v>3687552.88</v>
      </c>
      <c r="G46" s="38">
        <v>1983503.3200000003</v>
      </c>
      <c r="H46" s="39">
        <v>3697732.4400000004</v>
      </c>
      <c r="I46" s="39">
        <v>-1384338.7199999997</v>
      </c>
      <c r="J46" s="39">
        <v>1207256.3999999999</v>
      </c>
      <c r="K46">
        <v>1875506.0799999998</v>
      </c>
      <c r="L46" s="3">
        <v>-1307942.5200000003</v>
      </c>
      <c r="M46">
        <v>1817066.7600000002</v>
      </c>
      <c r="N46" s="3">
        <v>-1300847.04</v>
      </c>
      <c r="O46">
        <v>4213415.120000001</v>
      </c>
      <c r="P46">
        <v>1166398.6000000001</v>
      </c>
      <c r="Q46">
        <v>-511004.28000000026</v>
      </c>
      <c r="R46">
        <v>1988268.3599999999</v>
      </c>
      <c r="S46">
        <v>82226.480000000098</v>
      </c>
      <c r="T46">
        <v>4215774.6400000006</v>
      </c>
      <c r="U46">
        <v>174291.83999999991</v>
      </c>
      <c r="V46">
        <v>-1152312.92</v>
      </c>
      <c r="W46">
        <v>976811.84</v>
      </c>
      <c r="X46">
        <v>-792724</v>
      </c>
      <c r="Y46">
        <v>3916458.08</v>
      </c>
      <c r="Z46">
        <v>3982971.3600000003</v>
      </c>
    </row>
    <row r="47" spans="3:26" x14ac:dyDescent="0.25">
      <c r="C47">
        <v>1045392.7600000002</v>
      </c>
      <c r="D47" s="39">
        <v>-1951522.6</v>
      </c>
      <c r="E47" s="39">
        <v>3992155.0000000005</v>
      </c>
      <c r="F47" s="37">
        <v>95577.079999999842</v>
      </c>
      <c r="G47" s="38">
        <v>-1270304.9999999995</v>
      </c>
      <c r="H47" s="39">
        <v>2087845.3199999998</v>
      </c>
      <c r="I47" s="39">
        <v>1290068.76</v>
      </c>
      <c r="J47" s="39">
        <v>3921551.24</v>
      </c>
      <c r="K47">
        <v>3660807.7199999997</v>
      </c>
      <c r="L47" s="3">
        <v>2667482.3600000003</v>
      </c>
      <c r="M47">
        <v>3908769.84</v>
      </c>
      <c r="N47" s="3">
        <v>4182023.3200000003</v>
      </c>
      <c r="O47">
        <v>3684628.08</v>
      </c>
      <c r="P47">
        <v>-1383076.04</v>
      </c>
      <c r="Q47">
        <v>-289959.19999999995</v>
      </c>
      <c r="R47">
        <v>669520.24</v>
      </c>
      <c r="S47">
        <v>2269793.36</v>
      </c>
      <c r="T47">
        <v>2118992.48</v>
      </c>
      <c r="U47">
        <v>1002858.1199999999</v>
      </c>
      <c r="V47">
        <v>-507216.60000000009</v>
      </c>
      <c r="W47">
        <v>1838147.88</v>
      </c>
      <c r="X47">
        <v>3189057.28</v>
      </c>
      <c r="Y47">
        <v>2888232</v>
      </c>
      <c r="Z47">
        <v>188569.55999999982</v>
      </c>
    </row>
    <row r="48" spans="3:26" x14ac:dyDescent="0.25">
      <c r="C48">
        <v>321671.59999999992</v>
      </c>
      <c r="D48" s="39">
        <v>-915978.76000000013</v>
      </c>
      <c r="E48" s="39">
        <v>-1065476.44</v>
      </c>
      <c r="F48" s="37">
        <v>1028714.1999999998</v>
      </c>
      <c r="G48" s="38">
        <v>-369085.43999999983</v>
      </c>
      <c r="H48" s="39">
        <v>2395890.2799999998</v>
      </c>
      <c r="I48" s="39">
        <v>2681349.52</v>
      </c>
      <c r="J48" s="39">
        <v>3198260.76</v>
      </c>
      <c r="K48">
        <v>1597883.3199999998</v>
      </c>
      <c r="L48" s="3">
        <v>3697516.0000000005</v>
      </c>
      <c r="M48">
        <v>3674878.96</v>
      </c>
      <c r="N48" s="3">
        <v>2389712.0000000005</v>
      </c>
      <c r="O48">
        <v>3921310.8</v>
      </c>
      <c r="P48">
        <v>1516921.52</v>
      </c>
      <c r="Q48">
        <v>1647901.2000000002</v>
      </c>
      <c r="R48">
        <v>240878.67999999993</v>
      </c>
      <c r="S48">
        <v>2074663.6</v>
      </c>
      <c r="T48">
        <v>3655644.72</v>
      </c>
      <c r="U48">
        <v>-220714.28000000003</v>
      </c>
      <c r="V48">
        <v>4216903.96</v>
      </c>
      <c r="W48">
        <v>2393461.3200000003</v>
      </c>
      <c r="X48">
        <v>1202269.76</v>
      </c>
      <c r="Y48">
        <v>1477072.2</v>
      </c>
      <c r="Z48">
        <v>800381.64000000013</v>
      </c>
    </row>
    <row r="49" spans="3:26" x14ac:dyDescent="0.25">
      <c r="C49">
        <v>-593168.71999999974</v>
      </c>
      <c r="D49" s="39">
        <v>1036608.3200000001</v>
      </c>
      <c r="E49" s="39">
        <v>-1115929.6000000001</v>
      </c>
      <c r="F49" s="37">
        <v>1267967.0000000002</v>
      </c>
      <c r="G49" s="38">
        <v>121237.31999999983</v>
      </c>
      <c r="H49" s="39">
        <v>-1064895.1999999997</v>
      </c>
      <c r="I49" s="39">
        <v>-1465421.1999999997</v>
      </c>
      <c r="J49" s="39">
        <v>3210838.5200000005</v>
      </c>
      <c r="K49">
        <v>644513.32000000007</v>
      </c>
      <c r="L49" s="3">
        <v>1747579.32</v>
      </c>
      <c r="M49">
        <v>-944027.35999999987</v>
      </c>
      <c r="N49" s="3">
        <v>103931.31999999995</v>
      </c>
      <c r="O49">
        <v>2585904.88</v>
      </c>
      <c r="P49">
        <v>2585132.7600000002</v>
      </c>
      <c r="Q49">
        <v>3937860.88</v>
      </c>
      <c r="R49">
        <v>4667644.12</v>
      </c>
      <c r="S49">
        <v>4212344.16</v>
      </c>
      <c r="T49">
        <v>2619544.08</v>
      </c>
      <c r="U49">
        <v>-534893.83999999973</v>
      </c>
      <c r="V49">
        <v>2017430.1999999997</v>
      </c>
      <c r="W49">
        <v>758764.00000000023</v>
      </c>
      <c r="X49">
        <v>-24928.59999999986</v>
      </c>
      <c r="Y49">
        <v>2021519.0799999996</v>
      </c>
      <c r="Z49">
        <v>4219037.5200000005</v>
      </c>
    </row>
    <row r="50" spans="3:26" x14ac:dyDescent="0.25">
      <c r="C50">
        <v>2879959.2400000007</v>
      </c>
      <c r="D50" s="39">
        <v>-1059135.1999999997</v>
      </c>
      <c r="E50" s="39">
        <v>1211952</v>
      </c>
      <c r="F50" s="37">
        <v>2251525.3600000003</v>
      </c>
      <c r="G50" s="38">
        <v>-499822.55999999982</v>
      </c>
      <c r="H50" s="39">
        <v>-1711642.4399999995</v>
      </c>
      <c r="I50" s="39">
        <v>1713961.6400000001</v>
      </c>
      <c r="J50" s="39">
        <v>-1449268.5999999999</v>
      </c>
      <c r="K50">
        <v>143918.68</v>
      </c>
      <c r="L50" s="3">
        <v>1211721.4000000001</v>
      </c>
      <c r="M50">
        <v>-1743284.8000000003</v>
      </c>
      <c r="N50" s="3">
        <v>2301699.4400000004</v>
      </c>
      <c r="O50">
        <v>1756283.0400000003</v>
      </c>
      <c r="P50">
        <v>4198424.3600000003</v>
      </c>
      <c r="Q50">
        <v>1801811.6</v>
      </c>
      <c r="R50">
        <v>1032571.9600000002</v>
      </c>
      <c r="S50">
        <v>-1625837.3199999998</v>
      </c>
      <c r="T50">
        <v>4230719.32</v>
      </c>
      <c r="U50">
        <v>16622.320000000182</v>
      </c>
      <c r="V50">
        <v>1255147.7600000002</v>
      </c>
      <c r="W50">
        <v>-941238.24000000011</v>
      </c>
      <c r="X50">
        <v>1219329.6399999999</v>
      </c>
      <c r="Y50">
        <v>-590458.44000000006</v>
      </c>
      <c r="Z50">
        <v>936112.44000000006</v>
      </c>
    </row>
    <row r="51" spans="3:26" x14ac:dyDescent="0.25">
      <c r="C51">
        <v>2174914.9600000004</v>
      </c>
      <c r="D51" s="39">
        <v>4177777.16</v>
      </c>
      <c r="E51" s="39">
        <v>-764014.04</v>
      </c>
      <c r="F51" s="37">
        <v>-1001337.1600000003</v>
      </c>
      <c r="G51" s="38">
        <v>-535248.07999999984</v>
      </c>
      <c r="H51" s="39">
        <v>3957421.04</v>
      </c>
      <c r="I51" s="39">
        <v>2288049.96</v>
      </c>
      <c r="J51" s="39">
        <v>1670376.5600000003</v>
      </c>
      <c r="K51">
        <v>-125947.88000000012</v>
      </c>
      <c r="L51" s="3">
        <v>2020960.88</v>
      </c>
      <c r="M51">
        <v>-1298919.0000000002</v>
      </c>
      <c r="N51" s="3">
        <v>-1342682.6</v>
      </c>
      <c r="O51">
        <v>-695930.56000000017</v>
      </c>
      <c r="P51">
        <v>615541.48</v>
      </c>
      <c r="Q51">
        <v>3665594.1999999997</v>
      </c>
      <c r="R51">
        <v>2332396.4800000004</v>
      </c>
      <c r="S51">
        <v>2681468.52</v>
      </c>
      <c r="T51">
        <v>3914572.96</v>
      </c>
      <c r="U51">
        <v>2564015.84</v>
      </c>
      <c r="V51">
        <v>728047.4800000001</v>
      </c>
      <c r="W51">
        <v>3697911.04</v>
      </c>
      <c r="X51">
        <v>1419331.44</v>
      </c>
      <c r="Y51">
        <v>2315510.3600000003</v>
      </c>
      <c r="Z51">
        <v>-872050.08</v>
      </c>
    </row>
    <row r="52" spans="3:26" x14ac:dyDescent="0.25">
      <c r="C52">
        <v>1273360.7200000002</v>
      </c>
      <c r="D52" s="39">
        <v>838363.12</v>
      </c>
      <c r="E52" s="39">
        <v>-1222115.3999999999</v>
      </c>
      <c r="F52" s="37">
        <v>1265530.6400000001</v>
      </c>
      <c r="G52" s="38">
        <v>-898087.28</v>
      </c>
      <c r="H52" s="39">
        <v>-1696808.5199999996</v>
      </c>
      <c r="I52" s="39">
        <v>25999.279999999912</v>
      </c>
      <c r="J52" s="39">
        <v>4660400.3599999994</v>
      </c>
      <c r="K52">
        <v>1444233.9600000004</v>
      </c>
      <c r="L52">
        <v>-1418720.8399999999</v>
      </c>
      <c r="M52">
        <v>123572.16000000027</v>
      </c>
      <c r="N52" s="3">
        <v>2866742.96</v>
      </c>
      <c r="O52">
        <v>188257.23999999993</v>
      </c>
      <c r="P52">
        <v>3201759.8400000003</v>
      </c>
      <c r="Q52">
        <v>1473541.6400000001</v>
      </c>
      <c r="R52">
        <v>3670642.3200000003</v>
      </c>
      <c r="S52">
        <v>-1187829.6399999999</v>
      </c>
      <c r="T52">
        <v>1407459.5200000003</v>
      </c>
      <c r="U52">
        <v>2617697</v>
      </c>
      <c r="V52">
        <v>3937563.6000000006</v>
      </c>
      <c r="W52">
        <v>-1635951.88</v>
      </c>
      <c r="X52">
        <v>-357851.19999999972</v>
      </c>
      <c r="Y52">
        <v>1233718.96</v>
      </c>
      <c r="Z52">
        <v>2997277.6000000006</v>
      </c>
    </row>
    <row r="53" spans="3:26" x14ac:dyDescent="0.25">
      <c r="C53">
        <v>4213070.92</v>
      </c>
      <c r="D53" s="39">
        <v>3921408.36</v>
      </c>
      <c r="E53" s="39">
        <v>3673380.52</v>
      </c>
      <c r="F53" s="38">
        <v>911808.00000000023</v>
      </c>
      <c r="G53" s="38">
        <v>-675374.67999999993</v>
      </c>
      <c r="H53" s="39">
        <v>748299.60000000009</v>
      </c>
      <c r="I53" s="39">
        <v>-688758.04000000015</v>
      </c>
      <c r="J53" s="39">
        <v>-1269728.3999999999</v>
      </c>
      <c r="K53">
        <v>2022333.2400000002</v>
      </c>
      <c r="L53">
        <v>3695299.8800000004</v>
      </c>
      <c r="M53">
        <v>3895152.0799999996</v>
      </c>
      <c r="N53">
        <v>4196772.16</v>
      </c>
      <c r="O53">
        <v>1243868.7200000002</v>
      </c>
      <c r="P53">
        <v>3677086.08</v>
      </c>
      <c r="Q53">
        <v>-961299.64</v>
      </c>
      <c r="R53">
        <v>-1455508.0399999998</v>
      </c>
      <c r="S53">
        <v>2084046.2000000002</v>
      </c>
      <c r="T53">
        <v>918297.99999999988</v>
      </c>
      <c r="U53">
        <v>1038920.4800000002</v>
      </c>
      <c r="V53">
        <v>3893495.3199999994</v>
      </c>
      <c r="W53">
        <v>785090.11999999988</v>
      </c>
      <c r="X53">
        <v>3146701.56</v>
      </c>
      <c r="Y53">
        <v>2008297.8399999999</v>
      </c>
      <c r="Z53">
        <v>4205149.4399999995</v>
      </c>
    </row>
    <row r="54" spans="3:26" x14ac:dyDescent="0.25">
      <c r="C54">
        <v>2580380.8400000003</v>
      </c>
      <c r="D54" s="39">
        <v>2904991.84</v>
      </c>
      <c r="E54" s="39">
        <v>3932544.96</v>
      </c>
      <c r="F54" s="39">
        <v>3968947.8</v>
      </c>
      <c r="G54" s="39">
        <v>3232489.56</v>
      </c>
      <c r="H54" s="39">
        <v>3926189.76</v>
      </c>
      <c r="I54" s="39">
        <v>827183.9600000002</v>
      </c>
      <c r="J54" s="39">
        <v>4172467.36</v>
      </c>
      <c r="K54">
        <v>-1671606.2799999998</v>
      </c>
      <c r="L54">
        <v>2022947.8800000001</v>
      </c>
      <c r="M54">
        <v>4206250.5199999996</v>
      </c>
      <c r="N54">
        <v>589324.51999999979</v>
      </c>
      <c r="O54">
        <v>1210620.7200000002</v>
      </c>
      <c r="P54">
        <v>1173768.4400000004</v>
      </c>
      <c r="Q54">
        <v>1513362.4</v>
      </c>
      <c r="R54">
        <v>1013577.6</v>
      </c>
      <c r="S54">
        <v>3670363.24</v>
      </c>
      <c r="T54">
        <v>3183007.4000000004</v>
      </c>
      <c r="U54">
        <v>3678625.44</v>
      </c>
      <c r="V54">
        <v>-808137.68</v>
      </c>
      <c r="W54">
        <v>-15194.279999999912</v>
      </c>
      <c r="X54">
        <v>4228302.72</v>
      </c>
      <c r="Y54">
        <v>2624282.36</v>
      </c>
      <c r="Z54">
        <v>3952943.0400000005</v>
      </c>
    </row>
    <row r="55" spans="3:26" x14ac:dyDescent="0.25">
      <c r="C55">
        <v>1758484.1599999997</v>
      </c>
      <c r="D55" s="39">
        <v>1158504.48</v>
      </c>
      <c r="E55" s="39">
        <v>4215007.72</v>
      </c>
      <c r="F55" s="39">
        <v>3671154.68</v>
      </c>
      <c r="G55" s="39">
        <v>1866049.9200000002</v>
      </c>
      <c r="H55" s="39">
        <v>-1942108.2799999998</v>
      </c>
      <c r="I55" s="39">
        <v>1468244.92</v>
      </c>
      <c r="J55" s="39">
        <v>3689053.1200000006</v>
      </c>
      <c r="K55">
        <v>982389.96</v>
      </c>
      <c r="L55">
        <v>-489316.56000000029</v>
      </c>
      <c r="M55">
        <v>4648834.4800000004</v>
      </c>
      <c r="N55">
        <v>2646775.6800000002</v>
      </c>
      <c r="O55">
        <v>4643247.8</v>
      </c>
      <c r="P55">
        <v>2646933.5599999996</v>
      </c>
      <c r="Q55">
        <v>1278126.3599999999</v>
      </c>
      <c r="R55">
        <v>4224425.76</v>
      </c>
      <c r="S55">
        <v>-811245.3199999996</v>
      </c>
      <c r="T55">
        <v>-418957.87999999977</v>
      </c>
      <c r="U55">
        <v>689318.40000000026</v>
      </c>
      <c r="V55">
        <v>3924820.7600000002</v>
      </c>
      <c r="W55">
        <v>1464933.1199999999</v>
      </c>
      <c r="X55">
        <v>595319.76000000013</v>
      </c>
      <c r="Y55">
        <v>-1670056.9199999995</v>
      </c>
      <c r="Z55">
        <v>834430.11999999988</v>
      </c>
    </row>
    <row r="56" spans="3:26" x14ac:dyDescent="0.25">
      <c r="C56">
        <v>4187457.28</v>
      </c>
      <c r="D56" s="39">
        <v>590178.19999999995</v>
      </c>
      <c r="E56" s="39">
        <v>1497249.7600000002</v>
      </c>
      <c r="F56" s="39">
        <v>3123724.44</v>
      </c>
      <c r="G56" s="39">
        <v>911309.60000000009</v>
      </c>
      <c r="H56" s="39">
        <v>1150247.48</v>
      </c>
      <c r="I56" s="39">
        <v>3700979.36</v>
      </c>
      <c r="J56" s="39">
        <v>2697203.6799999997</v>
      </c>
      <c r="K56">
        <v>3937514.04</v>
      </c>
      <c r="L56">
        <v>4190508.9200000004</v>
      </c>
      <c r="M56">
        <v>-1244575.6399999997</v>
      </c>
      <c r="N56">
        <v>1505706.92</v>
      </c>
      <c r="O56">
        <v>1230509.9999999998</v>
      </c>
      <c r="P56">
        <v>2323968.8000000003</v>
      </c>
      <c r="Q56">
        <v>2907217.68</v>
      </c>
      <c r="R56">
        <v>29377.239999999874</v>
      </c>
      <c r="S56">
        <v>4643031.16</v>
      </c>
      <c r="T56">
        <v>226619.23999999987</v>
      </c>
      <c r="U56">
        <v>1838769.48</v>
      </c>
      <c r="V56">
        <v>4202499.92</v>
      </c>
      <c r="W56">
        <v>3916221.6799999997</v>
      </c>
      <c r="X56">
        <v>329851.48000000021</v>
      </c>
      <c r="Y56">
        <v>-1906212.6800000002</v>
      </c>
      <c r="Z56">
        <v>3732505.08</v>
      </c>
    </row>
    <row r="57" spans="3:26" x14ac:dyDescent="0.25">
      <c r="C57">
        <v>1664209.4800000004</v>
      </c>
      <c r="D57" s="39">
        <v>1268973.08</v>
      </c>
      <c r="E57" s="39">
        <v>1157710.4400000002</v>
      </c>
      <c r="F57" s="39">
        <v>-365736.12000000011</v>
      </c>
      <c r="G57" s="39">
        <v>4195303.2</v>
      </c>
      <c r="H57" s="39">
        <v>661658.16</v>
      </c>
      <c r="I57" s="39">
        <v>54158.639999999898</v>
      </c>
      <c r="J57" s="39">
        <v>604244.04</v>
      </c>
      <c r="K57">
        <v>-1627078.3200000003</v>
      </c>
      <c r="L57">
        <v>4630243.3999999994</v>
      </c>
      <c r="M57">
        <v>590071.68000000017</v>
      </c>
      <c r="N57">
        <v>601277.40000000014</v>
      </c>
      <c r="O57">
        <v>3677109.04</v>
      </c>
      <c r="P57">
        <v>-1346759.6399999997</v>
      </c>
      <c r="Q57">
        <v>1286794.1600000001</v>
      </c>
      <c r="R57">
        <v>116714.83999999997</v>
      </c>
      <c r="S57">
        <v>1009081.0000000002</v>
      </c>
      <c r="T57">
        <v>4190857.44</v>
      </c>
      <c r="U57">
        <v>-909242.04000000015</v>
      </c>
      <c r="V57">
        <v>643733.19999999972</v>
      </c>
      <c r="W57">
        <v>1051128.8800000001</v>
      </c>
      <c r="X57">
        <v>4209486.5599999996</v>
      </c>
      <c r="Y57">
        <v>2029518.44</v>
      </c>
      <c r="Z57">
        <v>2104427.4000000004</v>
      </c>
    </row>
    <row r="58" spans="3:26" x14ac:dyDescent="0.25">
      <c r="C58">
        <v>1070271.04</v>
      </c>
      <c r="D58" s="39">
        <v>1143149.04</v>
      </c>
      <c r="E58" s="39">
        <v>3192986.4800000004</v>
      </c>
      <c r="F58" s="39">
        <v>2014215.4000000001</v>
      </c>
      <c r="G58" s="39">
        <v>2312400.4000000004</v>
      </c>
      <c r="H58" s="39">
        <v>1460991.04</v>
      </c>
      <c r="I58" s="39">
        <v>1152397.4400000004</v>
      </c>
      <c r="J58" s="39">
        <v>4209522.2799999993</v>
      </c>
      <c r="K58">
        <v>1166099.8400000003</v>
      </c>
      <c r="L58">
        <v>4200707.4799999995</v>
      </c>
      <c r="M58">
        <v>1267294.24</v>
      </c>
      <c r="N58">
        <v>3674517.64</v>
      </c>
      <c r="O58">
        <v>-1108402.96</v>
      </c>
      <c r="P58">
        <v>2056470.52</v>
      </c>
      <c r="Q58">
        <v>-1402498.0799999998</v>
      </c>
      <c r="R58">
        <v>-1342069.6399999999</v>
      </c>
      <c r="S58">
        <v>2562944.2400000002</v>
      </c>
      <c r="T58">
        <v>3949641.28</v>
      </c>
      <c r="U58">
        <v>-1436888.0399999998</v>
      </c>
      <c r="V58">
        <v>1251961.7200000002</v>
      </c>
      <c r="W58">
        <v>2896188.88</v>
      </c>
      <c r="X58">
        <v>1992719.08</v>
      </c>
      <c r="Y58">
        <v>54837.320000000298</v>
      </c>
      <c r="Z58">
        <v>4659821.4400000004</v>
      </c>
    </row>
    <row r="59" spans="3:26" x14ac:dyDescent="0.25">
      <c r="C59">
        <v>2071796.4800000004</v>
      </c>
      <c r="D59" s="39">
        <v>-987461.11999999976</v>
      </c>
      <c r="E59" s="39">
        <v>3938121.28</v>
      </c>
      <c r="F59" s="39">
        <v>105645.87999999995</v>
      </c>
      <c r="G59" s="39">
        <v>-1632473.1999999995</v>
      </c>
      <c r="H59" s="39">
        <v>3200750.8</v>
      </c>
      <c r="I59" s="39">
        <v>1414674.96</v>
      </c>
      <c r="J59" s="39">
        <v>2102696.36</v>
      </c>
      <c r="K59">
        <v>2615726.3600000003</v>
      </c>
      <c r="L59">
        <v>-1239449.7199999997</v>
      </c>
      <c r="M59">
        <v>-447429.63999999955</v>
      </c>
      <c r="N59">
        <v>-1376573.12</v>
      </c>
      <c r="O59">
        <v>-1001537.9600000002</v>
      </c>
      <c r="P59">
        <v>-738232.47999999952</v>
      </c>
      <c r="Q59">
        <v>2023468.88</v>
      </c>
      <c r="R59">
        <v>1554672.2000000002</v>
      </c>
      <c r="S59">
        <v>4651263.4400000004</v>
      </c>
      <c r="T59">
        <v>-36414.880000000121</v>
      </c>
      <c r="U59">
        <v>3657687.2</v>
      </c>
      <c r="V59">
        <v>3691162.4</v>
      </c>
      <c r="W59">
        <v>770295.48</v>
      </c>
      <c r="X59">
        <v>1826992.68</v>
      </c>
      <c r="Y59">
        <v>-435366.24</v>
      </c>
      <c r="Z59">
        <v>1153433.3199999998</v>
      </c>
    </row>
    <row r="60" spans="3:26" x14ac:dyDescent="0.25">
      <c r="C60">
        <v>989954.56000000029</v>
      </c>
      <c r="D60" s="39">
        <v>2249067.2400000002</v>
      </c>
      <c r="E60" s="39">
        <v>798099.16000000015</v>
      </c>
      <c r="F60" s="39">
        <v>-1261887.1199999996</v>
      </c>
      <c r="G60" s="39">
        <v>3121279.72</v>
      </c>
      <c r="H60" s="39">
        <v>1375814.4000000004</v>
      </c>
      <c r="I60" s="39">
        <v>3940036.52</v>
      </c>
      <c r="J60" s="39">
        <v>-1386665.6799999997</v>
      </c>
      <c r="K60">
        <v>2577626.2000000002</v>
      </c>
      <c r="L60">
        <v>3967526.2</v>
      </c>
      <c r="M60">
        <v>1666185.1600000001</v>
      </c>
      <c r="N60">
        <v>1192582.48</v>
      </c>
      <c r="O60">
        <v>4201071.12</v>
      </c>
      <c r="P60">
        <v>561663.24</v>
      </c>
      <c r="Q60">
        <v>3927910.56</v>
      </c>
      <c r="R60">
        <v>1219837.6400000001</v>
      </c>
      <c r="S60">
        <v>3672962.68</v>
      </c>
      <c r="T60">
        <v>2160387.56</v>
      </c>
      <c r="U60">
        <v>-1393063.6799999997</v>
      </c>
      <c r="V60">
        <v>734187.92000000039</v>
      </c>
      <c r="W60">
        <v>3951745.16</v>
      </c>
      <c r="X60">
        <v>-1319978.32</v>
      </c>
      <c r="Y60">
        <v>2927359.08</v>
      </c>
      <c r="Z60">
        <v>891773.3200000003</v>
      </c>
    </row>
    <row r="61" spans="3:26" x14ac:dyDescent="0.25">
      <c r="C61">
        <v>1482655.92</v>
      </c>
      <c r="D61" s="39">
        <v>720296.68000000017</v>
      </c>
      <c r="E61" s="39">
        <v>4182200.1999999997</v>
      </c>
      <c r="F61" s="39">
        <v>3122854.4799999995</v>
      </c>
      <c r="G61" s="39">
        <v>-874873.75999999978</v>
      </c>
      <c r="H61" s="39">
        <v>-1826472.5599999998</v>
      </c>
      <c r="I61" s="39">
        <v>2968115.24</v>
      </c>
      <c r="J61" s="39">
        <v>4644528.4400000004</v>
      </c>
      <c r="K61">
        <v>-1291381.2399999998</v>
      </c>
      <c r="L61">
        <v>-1042015.8400000002</v>
      </c>
      <c r="M61">
        <v>829586.2000000003</v>
      </c>
      <c r="N61">
        <v>642898.52000000037</v>
      </c>
      <c r="O61">
        <v>137287.1999999999</v>
      </c>
      <c r="P61">
        <v>2402592.2000000002</v>
      </c>
      <c r="Q61">
        <v>45344.479999999981</v>
      </c>
      <c r="R61">
        <v>3669418.6799999997</v>
      </c>
      <c r="S61">
        <v>-422164.11999999976</v>
      </c>
      <c r="T61">
        <v>-760910</v>
      </c>
      <c r="U61">
        <v>3126461.7600000002</v>
      </c>
      <c r="V61">
        <v>1148703.6400000001</v>
      </c>
      <c r="W61">
        <v>-1468528.8399999999</v>
      </c>
      <c r="X61">
        <v>501251.6</v>
      </c>
      <c r="Y61">
        <v>2410413.4</v>
      </c>
      <c r="Z61">
        <v>1173284.8399999999</v>
      </c>
    </row>
    <row r="62" spans="3:26" x14ac:dyDescent="0.25">
      <c r="C62">
        <v>-1394651.8399999999</v>
      </c>
      <c r="D62" s="39">
        <v>70085.720000000088</v>
      </c>
      <c r="E62" s="39">
        <v>1789683.4000000004</v>
      </c>
      <c r="F62" s="39">
        <v>2322244.8400000003</v>
      </c>
      <c r="G62" s="39">
        <v>2601502.96</v>
      </c>
      <c r="H62" s="39">
        <v>-1030475.7600000002</v>
      </c>
      <c r="I62" s="39">
        <v>2434339</v>
      </c>
      <c r="J62" s="39">
        <v>1160894.8800000004</v>
      </c>
      <c r="K62">
        <v>996747.48000000021</v>
      </c>
      <c r="L62">
        <v>853349.64</v>
      </c>
      <c r="M62">
        <v>1435053.92</v>
      </c>
      <c r="N62">
        <v>968888.56</v>
      </c>
      <c r="O62">
        <v>761996.64</v>
      </c>
      <c r="P62">
        <v>2631084.16</v>
      </c>
      <c r="Q62">
        <v>237914.52000000002</v>
      </c>
      <c r="R62">
        <v>-1902110.0799999996</v>
      </c>
      <c r="S62">
        <v>-461160.68000000017</v>
      </c>
      <c r="T62">
        <v>-914654.79999999958</v>
      </c>
      <c r="U62">
        <v>1620400.08</v>
      </c>
      <c r="V62">
        <v>-1694865.4799999993</v>
      </c>
      <c r="W62">
        <v>-940027.99999999965</v>
      </c>
      <c r="X62">
        <v>4218668.5999999996</v>
      </c>
      <c r="Y62">
        <v>3209305.52</v>
      </c>
      <c r="Z62">
        <v>4182856.1600000006</v>
      </c>
    </row>
    <row r="63" spans="3:26" x14ac:dyDescent="0.25">
      <c r="C63">
        <v>-494460.23999999987</v>
      </c>
      <c r="D63" s="39">
        <v>329440.03999999986</v>
      </c>
      <c r="E63" s="39">
        <v>3646381.32</v>
      </c>
      <c r="F63" s="39">
        <v>2601668.6800000002</v>
      </c>
      <c r="G63" s="39">
        <v>725975.7200000002</v>
      </c>
      <c r="H63" s="39">
        <v>2363804.6799999997</v>
      </c>
      <c r="I63" s="39">
        <v>2059824.48</v>
      </c>
      <c r="J63" s="39">
        <v>1017972.0000000002</v>
      </c>
      <c r="K63">
        <v>-1523596.4</v>
      </c>
      <c r="L63">
        <v>998913.6</v>
      </c>
      <c r="M63">
        <v>4649364.16</v>
      </c>
      <c r="N63">
        <v>-800605.32</v>
      </c>
      <c r="O63">
        <v>3681356.32</v>
      </c>
      <c r="P63">
        <v>3918065.48</v>
      </c>
      <c r="Q63">
        <v>956874.7200000002</v>
      </c>
      <c r="R63">
        <v>1271701.3200000003</v>
      </c>
      <c r="S63">
        <v>629957.43999999994</v>
      </c>
      <c r="T63">
        <v>3672762.08</v>
      </c>
      <c r="U63">
        <v>830882.04</v>
      </c>
      <c r="V63">
        <v>1665177.2000000002</v>
      </c>
      <c r="W63">
        <v>4644812.92</v>
      </c>
      <c r="X63">
        <v>2346598.7600000002</v>
      </c>
      <c r="Y63">
        <v>3189883.16</v>
      </c>
      <c r="Z63">
        <v>3915493</v>
      </c>
    </row>
    <row r="64" spans="3:26" x14ac:dyDescent="0.25">
      <c r="C64">
        <v>3663276</v>
      </c>
      <c r="D64" s="39">
        <v>968807.91999999993</v>
      </c>
      <c r="E64" s="39">
        <v>1501430.3600000003</v>
      </c>
      <c r="F64" s="39">
        <v>-956479.87999999966</v>
      </c>
      <c r="G64" s="39">
        <v>-1295526.8799999999</v>
      </c>
      <c r="H64" s="39">
        <v>-282551.43999999971</v>
      </c>
      <c r="I64" s="39">
        <v>2352427.8800000004</v>
      </c>
      <c r="J64" s="39">
        <v>2278918.7600000002</v>
      </c>
      <c r="K64">
        <v>1729678.7600000002</v>
      </c>
      <c r="L64">
        <v>1451158</v>
      </c>
      <c r="M64">
        <v>4183177.12</v>
      </c>
      <c r="N64">
        <v>3695114.52</v>
      </c>
      <c r="O64">
        <v>4639888.9600000009</v>
      </c>
      <c r="P64">
        <v>4170069.6</v>
      </c>
      <c r="Q64">
        <v>4206236.04</v>
      </c>
      <c r="R64">
        <v>1534493.08</v>
      </c>
      <c r="S64">
        <v>1449949.04</v>
      </c>
      <c r="T64">
        <v>940440.15999999992</v>
      </c>
      <c r="U64">
        <v>1095976.6399999999</v>
      </c>
      <c r="V64">
        <v>-547200.00000000012</v>
      </c>
      <c r="W64">
        <v>1462321.2399999998</v>
      </c>
      <c r="X64">
        <v>1139514.4800000002</v>
      </c>
      <c r="Y64">
        <v>4206092.5199999996</v>
      </c>
      <c r="Z64">
        <v>1170271.2399999998</v>
      </c>
    </row>
    <row r="65" spans="3:26" x14ac:dyDescent="0.25">
      <c r="C65">
        <v>2919374.08</v>
      </c>
      <c r="D65" s="39">
        <v>894391.44</v>
      </c>
      <c r="E65" s="39">
        <v>2598603.52</v>
      </c>
      <c r="F65" s="39">
        <v>693109.04</v>
      </c>
      <c r="G65" s="39">
        <v>804991.92</v>
      </c>
      <c r="H65" s="39">
        <v>3934871.2</v>
      </c>
      <c r="I65" s="39">
        <v>1013229.6000000001</v>
      </c>
      <c r="J65" s="39">
        <v>2982646.8000000003</v>
      </c>
      <c r="K65">
        <v>1931279.08</v>
      </c>
      <c r="L65">
        <v>1031130.36</v>
      </c>
      <c r="M65">
        <v>4206893.16</v>
      </c>
      <c r="N65">
        <v>3619757.6799999997</v>
      </c>
      <c r="O65">
        <v>1209592.1599999999</v>
      </c>
      <c r="P65">
        <v>2003507.56</v>
      </c>
      <c r="Q65">
        <v>4645929.12</v>
      </c>
      <c r="R65">
        <v>2430239.12</v>
      </c>
      <c r="S65">
        <v>-1423922.3199999998</v>
      </c>
      <c r="T65">
        <v>3663872.88</v>
      </c>
      <c r="U65">
        <v>4195875.88</v>
      </c>
      <c r="V65">
        <v>-1352504.2000000002</v>
      </c>
      <c r="W65">
        <v>680139.00000000023</v>
      </c>
      <c r="X65">
        <v>2601751.2000000002</v>
      </c>
      <c r="Y65">
        <v>679201.08000000007</v>
      </c>
      <c r="Z65">
        <v>3685661.5199999996</v>
      </c>
    </row>
    <row r="66" spans="3:26" x14ac:dyDescent="0.25">
      <c r="C66">
        <v>-764491.08000000007</v>
      </c>
      <c r="D66" s="39">
        <v>2528793.84</v>
      </c>
      <c r="E66" s="39">
        <v>4210356.2</v>
      </c>
      <c r="F66" s="39">
        <v>-358199.19999999995</v>
      </c>
      <c r="G66" s="39">
        <v>2668838.2400000002</v>
      </c>
      <c r="H66" s="39">
        <v>1932250.8000000003</v>
      </c>
      <c r="I66" s="39">
        <v>3692794.84</v>
      </c>
      <c r="J66" s="39">
        <v>-1473984.56</v>
      </c>
      <c r="K66">
        <v>-646499.96000000008</v>
      </c>
      <c r="L66">
        <v>2334564.5199999996</v>
      </c>
      <c r="M66">
        <v>3654885.52</v>
      </c>
      <c r="N66">
        <v>3897650.3600000003</v>
      </c>
      <c r="O66">
        <v>-1397808.0799999996</v>
      </c>
      <c r="P66">
        <v>-842058.95999999973</v>
      </c>
      <c r="Q66">
        <v>-1165289.3999999999</v>
      </c>
      <c r="R66">
        <v>-850189.99999999988</v>
      </c>
      <c r="S66">
        <v>10046.719999999972</v>
      </c>
      <c r="T66">
        <v>4211688.84</v>
      </c>
      <c r="U66">
        <v>4212594.2</v>
      </c>
      <c r="V66">
        <v>2057470.6799999997</v>
      </c>
      <c r="W66">
        <v>-895433.11999999988</v>
      </c>
      <c r="X66">
        <v>4196666.8000000007</v>
      </c>
      <c r="Y66">
        <v>-425446.04000000004</v>
      </c>
      <c r="Z66">
        <v>2073163.3599999999</v>
      </c>
    </row>
    <row r="67" spans="3:26" x14ac:dyDescent="0.25">
      <c r="C67">
        <v>2284024.4000000004</v>
      </c>
      <c r="D67" s="39">
        <v>899637.40000000014</v>
      </c>
      <c r="E67" s="39">
        <v>1501477.5999999999</v>
      </c>
      <c r="F67" s="39">
        <v>-2015363.2400000002</v>
      </c>
      <c r="G67" s="39">
        <v>1765583.96</v>
      </c>
      <c r="H67" s="39">
        <v>-1629766.8399999999</v>
      </c>
      <c r="I67" s="39">
        <v>4207286.08</v>
      </c>
      <c r="J67" s="39">
        <v>3979592.3600000003</v>
      </c>
      <c r="K67">
        <v>-1695656.6000000006</v>
      </c>
      <c r="L67">
        <v>-544479.68000000017</v>
      </c>
      <c r="M67">
        <v>2100124.52</v>
      </c>
      <c r="N67">
        <v>314085.44000000018</v>
      </c>
      <c r="O67">
        <v>2952002.8800000004</v>
      </c>
      <c r="P67">
        <v>313217.71999999997</v>
      </c>
      <c r="Q67">
        <v>4188636.04</v>
      </c>
      <c r="R67">
        <v>-160058.43999999994</v>
      </c>
      <c r="S67">
        <v>3642958.32</v>
      </c>
      <c r="T67">
        <v>4212022.04</v>
      </c>
      <c r="U67">
        <v>4197700.88</v>
      </c>
      <c r="V67">
        <v>3945397.8000000003</v>
      </c>
      <c r="W67">
        <v>2889103.4400000004</v>
      </c>
      <c r="X67">
        <v>3158084.2800000003</v>
      </c>
      <c r="Y67">
        <v>-1368371.8800000001</v>
      </c>
      <c r="Z67">
        <v>4651385.3999999994</v>
      </c>
    </row>
    <row r="68" spans="3:26" x14ac:dyDescent="0.25">
      <c r="C68">
        <v>1019712.7599999999</v>
      </c>
      <c r="D68" s="39">
        <v>265191.2800000002</v>
      </c>
      <c r="E68" s="39">
        <v>1980102.76</v>
      </c>
      <c r="F68" s="39">
        <v>2048440.08</v>
      </c>
      <c r="G68" s="39">
        <v>3139177</v>
      </c>
      <c r="H68" s="39">
        <v>2933168.96</v>
      </c>
      <c r="I68" s="39">
        <v>-1504879.9599999995</v>
      </c>
      <c r="J68" s="39">
        <v>4186045.4800000004</v>
      </c>
      <c r="K68">
        <v>-1346508.3200000003</v>
      </c>
      <c r="L68">
        <v>-857828.1599999998</v>
      </c>
      <c r="M68">
        <v>-538552.92000000016</v>
      </c>
      <c r="N68">
        <v>-1205975.0399999998</v>
      </c>
      <c r="O68">
        <v>3664503.6</v>
      </c>
      <c r="P68">
        <v>3914864.3200000003</v>
      </c>
      <c r="Q68">
        <v>4194546.84</v>
      </c>
      <c r="R68">
        <v>2360067.08</v>
      </c>
      <c r="S68">
        <v>2418429.04</v>
      </c>
      <c r="T68">
        <v>2320351.88</v>
      </c>
      <c r="U68">
        <v>-1877806.1600000001</v>
      </c>
      <c r="V68">
        <v>2270374.2800000003</v>
      </c>
      <c r="W68">
        <v>-832968.64000000025</v>
      </c>
      <c r="X68">
        <v>3165523.32</v>
      </c>
      <c r="Y68">
        <v>4215381.72</v>
      </c>
      <c r="Z68">
        <v>1532648.3200000003</v>
      </c>
    </row>
    <row r="69" spans="3:26" x14ac:dyDescent="0.25">
      <c r="C69">
        <v>1715690.8</v>
      </c>
      <c r="D69" s="39">
        <v>3672559.6</v>
      </c>
      <c r="E69" s="39">
        <v>-1762498.5600000003</v>
      </c>
      <c r="F69" s="39">
        <v>3988293.64</v>
      </c>
      <c r="G69" s="39">
        <v>690807.00000000023</v>
      </c>
      <c r="H69" s="39">
        <v>846621.44000000018</v>
      </c>
      <c r="I69" s="39">
        <v>2909253.72</v>
      </c>
      <c r="J69" s="39">
        <v>-429348.16000000015</v>
      </c>
      <c r="K69">
        <v>3717728</v>
      </c>
      <c r="L69">
        <v>3652525.5599999996</v>
      </c>
      <c r="M69">
        <v>-511465.68000000005</v>
      </c>
      <c r="N69">
        <v>323636.19999999984</v>
      </c>
      <c r="O69">
        <v>4185147.96</v>
      </c>
      <c r="P69">
        <v>4196023.8400000008</v>
      </c>
      <c r="Q69">
        <v>-1226778.2399999998</v>
      </c>
      <c r="R69">
        <v>1252140.5200000003</v>
      </c>
      <c r="S69">
        <v>-1020917.0800000002</v>
      </c>
      <c r="T69">
        <v>2083869.8399999999</v>
      </c>
      <c r="U69">
        <v>2926845.24</v>
      </c>
      <c r="V69">
        <v>3965133.48</v>
      </c>
      <c r="W69">
        <v>-497475.19999999984</v>
      </c>
      <c r="X69">
        <v>2272290.5999999996</v>
      </c>
      <c r="Y69">
        <v>2362559.64</v>
      </c>
      <c r="Z69">
        <v>-1443932.0399999996</v>
      </c>
    </row>
    <row r="70" spans="3:26" x14ac:dyDescent="0.25">
      <c r="C70">
        <v>2612943.5999999996</v>
      </c>
      <c r="D70" s="39">
        <v>-1273046.7600000002</v>
      </c>
      <c r="E70" s="39">
        <v>3649315.8400000008</v>
      </c>
      <c r="F70" s="39">
        <v>2932941.6399999997</v>
      </c>
      <c r="G70" s="39">
        <v>-303868.00000000012</v>
      </c>
      <c r="H70" s="39">
        <v>2610053.56</v>
      </c>
      <c r="I70" s="39">
        <v>4206136.92</v>
      </c>
      <c r="J70" s="39">
        <v>2410689.96</v>
      </c>
      <c r="K70">
        <v>3945712.72</v>
      </c>
      <c r="L70">
        <v>713339.51999999979</v>
      </c>
      <c r="M70">
        <v>2041816.6800000002</v>
      </c>
      <c r="N70">
        <v>3186688.56</v>
      </c>
      <c r="O70">
        <v>-1363393.92</v>
      </c>
      <c r="P70">
        <v>1902409.12</v>
      </c>
      <c r="Q70">
        <v>660083.7200000002</v>
      </c>
      <c r="R70">
        <v>3958201.6</v>
      </c>
      <c r="S70">
        <v>-358500.91999999993</v>
      </c>
      <c r="T70">
        <v>-491848.23999999987</v>
      </c>
      <c r="U70">
        <v>-17363.680000000051</v>
      </c>
      <c r="V70">
        <v>337481.4800000001</v>
      </c>
      <c r="W70">
        <v>2071484.52</v>
      </c>
      <c r="X70">
        <v>789001.24</v>
      </c>
      <c r="Y70">
        <v>549861.67999999993</v>
      </c>
      <c r="Z70">
        <v>2068148.2</v>
      </c>
    </row>
    <row r="71" spans="3:26" x14ac:dyDescent="0.25">
      <c r="C71">
        <v>-853909.51999999979</v>
      </c>
      <c r="D71" s="39">
        <v>2593738</v>
      </c>
      <c r="E71" s="39">
        <v>2077827.3599999999</v>
      </c>
      <c r="F71" s="39">
        <v>3965622.24</v>
      </c>
      <c r="G71" s="39">
        <v>-680149.52000000014</v>
      </c>
      <c r="H71" s="39">
        <v>2016053.9200000004</v>
      </c>
      <c r="I71" s="39">
        <v>3937022.84</v>
      </c>
      <c r="J71" s="39">
        <v>-959524.11999999976</v>
      </c>
      <c r="K71">
        <v>2071719.2400000002</v>
      </c>
      <c r="L71">
        <v>3671506.28</v>
      </c>
      <c r="M71">
        <v>-1223299.44</v>
      </c>
      <c r="N71">
        <v>1551457.4000000001</v>
      </c>
      <c r="O71">
        <v>1487763.8800000004</v>
      </c>
      <c r="P71">
        <v>994427.15999999992</v>
      </c>
      <c r="Q71">
        <v>2964423.8</v>
      </c>
      <c r="R71">
        <v>2276839.6</v>
      </c>
      <c r="S71">
        <v>-1404854.3200000003</v>
      </c>
      <c r="T71">
        <v>2600164.52</v>
      </c>
      <c r="U71">
        <v>2896469.04</v>
      </c>
      <c r="V71">
        <v>1889278.7600000002</v>
      </c>
      <c r="W71">
        <v>1980713.1600000001</v>
      </c>
      <c r="X71">
        <v>320961.52</v>
      </c>
      <c r="Y71">
        <v>2938088.4000000004</v>
      </c>
      <c r="Z71">
        <v>35109.279999999912</v>
      </c>
    </row>
    <row r="72" spans="3:26" x14ac:dyDescent="0.25">
      <c r="C72">
        <v>4654792.32</v>
      </c>
      <c r="D72" s="39">
        <v>3698657.5600000005</v>
      </c>
      <c r="E72" s="39">
        <v>2063868.88</v>
      </c>
      <c r="F72" s="39">
        <v>2922290.24</v>
      </c>
      <c r="G72" s="39">
        <v>4199904.84</v>
      </c>
      <c r="H72" s="39">
        <v>3233996.68</v>
      </c>
      <c r="I72" s="39">
        <v>3677702.6399999997</v>
      </c>
      <c r="J72" s="39">
        <v>3160937</v>
      </c>
      <c r="K72">
        <v>-1320788.92</v>
      </c>
      <c r="L72">
        <v>1727833.04</v>
      </c>
      <c r="M72">
        <v>869222.32000000007</v>
      </c>
      <c r="N72">
        <v>1249333.2400000002</v>
      </c>
      <c r="O72">
        <v>3952972.9600000004</v>
      </c>
      <c r="P72">
        <v>-1762930.7999999998</v>
      </c>
      <c r="Q72">
        <v>2615436.48</v>
      </c>
      <c r="R72">
        <v>-1200337.4400000002</v>
      </c>
      <c r="S72">
        <v>1997257.1999999997</v>
      </c>
      <c r="T72">
        <v>-506516.35999999987</v>
      </c>
      <c r="U72">
        <v>-1728029.4399999995</v>
      </c>
      <c r="V72">
        <v>345277.31999999989</v>
      </c>
      <c r="W72">
        <v>2219014.4000000004</v>
      </c>
      <c r="X72">
        <v>2012405.6400000001</v>
      </c>
      <c r="Y72">
        <v>-43304.720000000088</v>
      </c>
      <c r="Z72">
        <v>-980517.72</v>
      </c>
    </row>
    <row r="73" spans="3:26" x14ac:dyDescent="0.25">
      <c r="C73">
        <v>-159648.27999999968</v>
      </c>
      <c r="D73" s="39">
        <v>4193481.48</v>
      </c>
      <c r="E73" s="39">
        <v>654580.64000000013</v>
      </c>
      <c r="F73" s="39">
        <v>-246772.5199999999</v>
      </c>
      <c r="G73" s="39">
        <v>685169.79999999981</v>
      </c>
      <c r="H73" s="39">
        <v>-998420.60000000033</v>
      </c>
      <c r="I73" s="39">
        <v>2064160.88</v>
      </c>
      <c r="J73" s="39">
        <v>4634350.04</v>
      </c>
      <c r="K73">
        <v>3132084.8</v>
      </c>
      <c r="L73">
        <v>2634948.04</v>
      </c>
      <c r="M73">
        <v>945627.79999999981</v>
      </c>
      <c r="N73">
        <v>-770658.7999999997</v>
      </c>
      <c r="O73">
        <v>4636239.7200000007</v>
      </c>
      <c r="P73">
        <v>2669802.6800000002</v>
      </c>
      <c r="Q73">
        <v>-1631558.3200000003</v>
      </c>
      <c r="R73">
        <v>3222366.24</v>
      </c>
      <c r="S73">
        <v>4188701.24</v>
      </c>
      <c r="T73">
        <v>3658189.0799999996</v>
      </c>
      <c r="U73">
        <v>2385067.12</v>
      </c>
      <c r="V73">
        <v>3937497.12</v>
      </c>
      <c r="W73">
        <v>-1261509.2400000002</v>
      </c>
      <c r="X73">
        <v>959230.44000000041</v>
      </c>
      <c r="Y73">
        <v>124663.48000000016</v>
      </c>
      <c r="Z73">
        <v>2597381.4400000004</v>
      </c>
    </row>
    <row r="74" spans="3:26" x14ac:dyDescent="0.25">
      <c r="C74">
        <v>856814.48</v>
      </c>
      <c r="D74" s="39">
        <v>837503.71999999986</v>
      </c>
      <c r="E74" s="39">
        <v>286007.56000000006</v>
      </c>
      <c r="F74" s="39">
        <v>457954.47999999992</v>
      </c>
      <c r="G74" s="39">
        <v>2398004.2000000002</v>
      </c>
      <c r="H74" s="39">
        <v>838227.24000000011</v>
      </c>
      <c r="I74" s="39">
        <v>937205.92000000016</v>
      </c>
      <c r="J74" s="39">
        <v>-1385108.7599999998</v>
      </c>
      <c r="K74">
        <v>3924624.3200000003</v>
      </c>
      <c r="L74">
        <v>2096127.6</v>
      </c>
      <c r="M74">
        <v>-1287132.6799999995</v>
      </c>
      <c r="N74">
        <v>22577.560000000056</v>
      </c>
      <c r="O74">
        <v>-865286.63999999978</v>
      </c>
      <c r="P74">
        <v>1192051.1200000001</v>
      </c>
      <c r="Q74">
        <v>1526754.6399999997</v>
      </c>
      <c r="R74">
        <v>1040249.0800000003</v>
      </c>
      <c r="S74">
        <v>3663603.8400000003</v>
      </c>
      <c r="T74">
        <v>2596095.52</v>
      </c>
      <c r="U74">
        <v>276005.12000000011</v>
      </c>
      <c r="V74">
        <v>665470.99999999988</v>
      </c>
      <c r="W74">
        <v>1253048.1200000001</v>
      </c>
      <c r="X74">
        <v>3946208.5599999996</v>
      </c>
      <c r="Y74">
        <v>-1087574.2000000002</v>
      </c>
      <c r="Z74">
        <v>-1026695.8000000002</v>
      </c>
    </row>
    <row r="75" spans="3:26" x14ac:dyDescent="0.25">
      <c r="C75">
        <v>774978.20000000007</v>
      </c>
      <c r="D75" s="39">
        <v>3676757.12</v>
      </c>
      <c r="E75" s="39">
        <v>-730374.91999999993</v>
      </c>
      <c r="F75" s="39">
        <v>-1312226.8799999994</v>
      </c>
      <c r="G75" s="39">
        <v>763734.56000000017</v>
      </c>
      <c r="H75" s="39">
        <v>-1255251.68</v>
      </c>
      <c r="I75" s="39">
        <v>4197797.3600000003</v>
      </c>
      <c r="J75" s="39">
        <v>4215865</v>
      </c>
      <c r="K75">
        <v>-1489186.6799999997</v>
      </c>
      <c r="L75">
        <v>-1581030.04</v>
      </c>
      <c r="M75">
        <v>437090.95999999996</v>
      </c>
      <c r="N75">
        <v>1419221.32</v>
      </c>
      <c r="O75">
        <v>227475.36000000028</v>
      </c>
      <c r="P75">
        <v>2599235.7999999998</v>
      </c>
      <c r="Q75">
        <v>3938468.12</v>
      </c>
      <c r="R75">
        <v>652311.04000000027</v>
      </c>
      <c r="S75">
        <v>2376561.8800000004</v>
      </c>
      <c r="T75">
        <v>767506.20000000019</v>
      </c>
      <c r="U75">
        <v>904485.91999999993</v>
      </c>
      <c r="V75">
        <v>2069546.56</v>
      </c>
      <c r="W75">
        <v>3218902.88</v>
      </c>
      <c r="X75">
        <v>3939575.4400000004</v>
      </c>
      <c r="Y75">
        <v>3205858.7600000002</v>
      </c>
      <c r="Z75">
        <v>2712379.36</v>
      </c>
    </row>
    <row r="76" spans="3:26" x14ac:dyDescent="0.25">
      <c r="C76">
        <v>-827785.55999999971</v>
      </c>
      <c r="D76" s="39">
        <v>3911386.8000000003</v>
      </c>
      <c r="E76" s="39">
        <v>1201197.96</v>
      </c>
      <c r="F76" s="39">
        <v>-781913.6399999999</v>
      </c>
      <c r="G76" s="39">
        <v>1794635.2799999998</v>
      </c>
      <c r="H76" s="39">
        <v>2631701.8400000003</v>
      </c>
      <c r="I76" s="39">
        <v>-942380.44000000006</v>
      </c>
      <c r="J76" s="39">
        <v>2977652.24</v>
      </c>
      <c r="K76">
        <v>3187231.12</v>
      </c>
      <c r="L76">
        <v>3725515.28</v>
      </c>
      <c r="M76">
        <v>2030381.9600000002</v>
      </c>
      <c r="N76">
        <v>-1366229.32</v>
      </c>
      <c r="O76">
        <v>1365645.8399999999</v>
      </c>
      <c r="P76">
        <v>713093.60000000033</v>
      </c>
      <c r="Q76">
        <v>2844707.04</v>
      </c>
      <c r="R76">
        <v>-1440347.1199999996</v>
      </c>
      <c r="S76">
        <v>3961239.48</v>
      </c>
      <c r="T76">
        <v>1453988.2400000002</v>
      </c>
      <c r="U76">
        <v>-951805.95999999973</v>
      </c>
      <c r="V76">
        <v>1351076.64</v>
      </c>
      <c r="W76">
        <v>1412853.2399999998</v>
      </c>
      <c r="X76">
        <v>-32969.920000000158</v>
      </c>
      <c r="Y76">
        <v>2916830.68</v>
      </c>
      <c r="Z76">
        <v>-1115210.8800000004</v>
      </c>
    </row>
    <row r="77" spans="3:26" x14ac:dyDescent="0.25">
      <c r="C77">
        <v>2348217.16</v>
      </c>
      <c r="D77" s="39">
        <v>-537394.24000000011</v>
      </c>
      <c r="E77" s="39">
        <v>965906.3600000001</v>
      </c>
      <c r="F77" s="39">
        <v>3668071.8800000004</v>
      </c>
      <c r="G77" s="39">
        <v>1076104.52</v>
      </c>
      <c r="H77" s="39">
        <v>2604450.92</v>
      </c>
      <c r="I77" s="39">
        <v>-239804.60000000009</v>
      </c>
      <c r="J77" s="39">
        <v>1994639.9200000004</v>
      </c>
      <c r="K77">
        <v>4203282.28</v>
      </c>
      <c r="L77">
        <v>-558513.20000000007</v>
      </c>
      <c r="M77">
        <v>-1485988.16</v>
      </c>
      <c r="N77">
        <v>-420628.16000000003</v>
      </c>
      <c r="O77">
        <v>1148751.3600000003</v>
      </c>
      <c r="P77">
        <v>4183579.24</v>
      </c>
      <c r="Q77">
        <v>-983451.39999999967</v>
      </c>
      <c r="R77">
        <v>4206721.12</v>
      </c>
      <c r="S77">
        <v>3727317.7600000002</v>
      </c>
      <c r="T77">
        <v>2306122.36</v>
      </c>
      <c r="U77">
        <v>2013548.3600000003</v>
      </c>
      <c r="V77">
        <v>1283678.2800000003</v>
      </c>
      <c r="W77">
        <v>154713.04000000021</v>
      </c>
      <c r="X77">
        <v>3921923.24</v>
      </c>
      <c r="Y77">
        <v>2399307.88</v>
      </c>
      <c r="Z77">
        <v>2634850.08</v>
      </c>
    </row>
    <row r="78" spans="3:26" x14ac:dyDescent="0.25">
      <c r="C78">
        <v>3639820.6799999997</v>
      </c>
      <c r="D78" s="39">
        <v>1401985.2800000003</v>
      </c>
      <c r="E78" s="39">
        <v>1405464.9200000002</v>
      </c>
      <c r="F78" s="39">
        <v>-901766.44000000006</v>
      </c>
      <c r="G78" s="39">
        <v>2530078.7200000002</v>
      </c>
      <c r="H78" s="39">
        <v>3954795.5200000005</v>
      </c>
      <c r="I78" s="39">
        <v>923922.32000000007</v>
      </c>
      <c r="J78" s="39">
        <v>4214606.88</v>
      </c>
      <c r="K78">
        <v>3698194.3600000003</v>
      </c>
      <c r="L78">
        <v>4663351.6000000006</v>
      </c>
      <c r="M78">
        <v>1984018.2000000002</v>
      </c>
      <c r="N78">
        <v>-1796382.52</v>
      </c>
      <c r="O78">
        <v>3680673.52</v>
      </c>
      <c r="P78">
        <v>-380641.1599999998</v>
      </c>
      <c r="Q78">
        <v>4206035.88</v>
      </c>
      <c r="R78">
        <v>1215940.3599999999</v>
      </c>
      <c r="S78">
        <v>2852669.52</v>
      </c>
      <c r="T78">
        <v>2007404.8400000003</v>
      </c>
      <c r="U78">
        <v>4641541.4800000004</v>
      </c>
      <c r="V78">
        <v>1998997.7599999998</v>
      </c>
      <c r="W78">
        <v>-946163.3600000001</v>
      </c>
      <c r="X78">
        <v>2297961.7200000002</v>
      </c>
      <c r="Y78">
        <v>723087.48</v>
      </c>
      <c r="Z78">
        <v>-633878.68000000005</v>
      </c>
    </row>
    <row r="79" spans="3:26" x14ac:dyDescent="0.25">
      <c r="C79">
        <v>3693747.76</v>
      </c>
      <c r="D79" s="39">
        <v>1765434.52</v>
      </c>
      <c r="E79" s="39">
        <v>1763019.8399999999</v>
      </c>
      <c r="F79" s="39">
        <v>-461376.59999999974</v>
      </c>
      <c r="G79" s="39">
        <v>-872015.32</v>
      </c>
      <c r="H79" s="39">
        <v>2942312</v>
      </c>
      <c r="I79" s="39">
        <v>2626504.4</v>
      </c>
      <c r="J79" s="39">
        <v>3980605.2</v>
      </c>
      <c r="K79">
        <v>1111978.1200000001</v>
      </c>
      <c r="L79">
        <v>2091046.1600000001</v>
      </c>
      <c r="M79">
        <v>-1605233.36</v>
      </c>
      <c r="N79">
        <v>-1069219.6399999997</v>
      </c>
      <c r="O79">
        <v>925246.39999999991</v>
      </c>
      <c r="P79">
        <v>1512706.56</v>
      </c>
      <c r="Q79">
        <v>815305.60000000009</v>
      </c>
      <c r="R79">
        <v>-1403854.1600000001</v>
      </c>
      <c r="S79">
        <v>1176715.6400000001</v>
      </c>
      <c r="T79">
        <v>2118148.52</v>
      </c>
      <c r="U79">
        <v>2900098.2</v>
      </c>
      <c r="V79">
        <v>3708767.8</v>
      </c>
      <c r="W79">
        <v>1437661.48</v>
      </c>
      <c r="X79">
        <v>2333682.4000000004</v>
      </c>
      <c r="Y79">
        <v>1132474.48</v>
      </c>
      <c r="Z79">
        <v>-375714.56000000006</v>
      </c>
    </row>
    <row r="80" spans="3:26" x14ac:dyDescent="0.25">
      <c r="C80">
        <v>1722910.8800000004</v>
      </c>
      <c r="D80" s="39">
        <v>3153836.68</v>
      </c>
      <c r="E80" s="39">
        <v>1810874</v>
      </c>
      <c r="F80" s="39">
        <v>2576953.64</v>
      </c>
      <c r="G80" s="39">
        <v>1999078.92</v>
      </c>
      <c r="H80" s="39">
        <v>2666087.8000000003</v>
      </c>
      <c r="I80" s="39">
        <v>930599.64000000036</v>
      </c>
      <c r="J80" s="39">
        <v>647168.6399999999</v>
      </c>
      <c r="K80">
        <v>699152.68000000017</v>
      </c>
      <c r="L80">
        <v>3960251.16</v>
      </c>
      <c r="M80">
        <v>680067.56</v>
      </c>
      <c r="N80">
        <v>2351655.5600000005</v>
      </c>
      <c r="O80">
        <v>3633301.6799999997</v>
      </c>
      <c r="P80">
        <v>727440.24000000022</v>
      </c>
      <c r="Q80">
        <v>2099836</v>
      </c>
      <c r="R80">
        <v>681816.36000000034</v>
      </c>
      <c r="S80">
        <v>4200518.32</v>
      </c>
      <c r="T80">
        <v>869078.72</v>
      </c>
      <c r="U80">
        <v>4195416.6000000006</v>
      </c>
      <c r="V80">
        <v>2018980.44</v>
      </c>
      <c r="W80">
        <v>3636837.96</v>
      </c>
      <c r="X80">
        <v>4658400.04</v>
      </c>
      <c r="Y80">
        <v>3920386.6399999997</v>
      </c>
      <c r="Z80">
        <v>1631346.1600000001</v>
      </c>
    </row>
    <row r="81" spans="3:26" x14ac:dyDescent="0.25">
      <c r="C81">
        <v>-1613635.16</v>
      </c>
      <c r="D81" s="39">
        <v>-135088.59999999998</v>
      </c>
      <c r="E81" s="39">
        <v>856921.64000000013</v>
      </c>
      <c r="F81" s="39">
        <v>4172152.1199999996</v>
      </c>
      <c r="G81" s="39">
        <v>-1422742.92</v>
      </c>
      <c r="H81" s="39">
        <v>-1389991.7600000002</v>
      </c>
      <c r="I81" s="39">
        <v>1023463.3599999999</v>
      </c>
      <c r="J81" s="39">
        <v>3663582.8000000003</v>
      </c>
      <c r="K81">
        <v>694381.32000000007</v>
      </c>
      <c r="L81">
        <v>2028274.48</v>
      </c>
      <c r="M81">
        <v>3940759.36</v>
      </c>
      <c r="N81">
        <v>-428350.96000000008</v>
      </c>
      <c r="O81">
        <v>700650.2799999998</v>
      </c>
      <c r="P81">
        <v>2683064.08</v>
      </c>
      <c r="Q81">
        <v>1272358.6399999999</v>
      </c>
      <c r="R81">
        <v>1225766.0000000002</v>
      </c>
      <c r="S81">
        <v>4224372.4800000004</v>
      </c>
      <c r="T81">
        <v>2358138.8400000003</v>
      </c>
      <c r="U81">
        <v>870823.36</v>
      </c>
      <c r="V81">
        <v>1219556.1200000001</v>
      </c>
      <c r="W81">
        <v>3690052.44</v>
      </c>
      <c r="X81">
        <v>3711391.8400000003</v>
      </c>
      <c r="Y81">
        <v>2357696.7599999998</v>
      </c>
      <c r="Z81">
        <v>1666182.3199999998</v>
      </c>
    </row>
    <row r="82" spans="3:26" x14ac:dyDescent="0.25">
      <c r="C82">
        <v>-780833.48</v>
      </c>
      <c r="D82" s="39">
        <v>-1058110.52</v>
      </c>
      <c r="E82" s="39">
        <v>-920636.91999999969</v>
      </c>
      <c r="F82" s="39">
        <v>4205729.2</v>
      </c>
      <c r="G82" s="39">
        <v>4209011.2</v>
      </c>
      <c r="H82" s="39">
        <v>-143978.32000000007</v>
      </c>
      <c r="I82" s="39">
        <v>-936246.32</v>
      </c>
      <c r="J82" s="39">
        <v>630614.67999999993</v>
      </c>
      <c r="K82">
        <v>3004085.72</v>
      </c>
      <c r="L82">
        <v>3928075.52</v>
      </c>
      <c r="M82">
        <v>982989.16</v>
      </c>
      <c r="N82">
        <v>2415750.04</v>
      </c>
      <c r="O82">
        <v>1172356.1200000001</v>
      </c>
      <c r="P82">
        <v>1258467.08</v>
      </c>
      <c r="Q82">
        <v>-1146637.2399999998</v>
      </c>
      <c r="R82">
        <v>4640278.4000000004</v>
      </c>
      <c r="S82">
        <v>3211091.5200000005</v>
      </c>
      <c r="T82">
        <v>-1006818.8000000003</v>
      </c>
      <c r="U82">
        <v>3688182.12</v>
      </c>
      <c r="V82">
        <v>1528447.8399999999</v>
      </c>
      <c r="W82">
        <v>1302254.7599999998</v>
      </c>
      <c r="X82">
        <v>1108975.3999999999</v>
      </c>
      <c r="Y82">
        <v>1271973.56</v>
      </c>
      <c r="Z82">
        <v>950764.79999999981</v>
      </c>
    </row>
    <row r="83" spans="3:26" x14ac:dyDescent="0.25">
      <c r="C83">
        <v>235266.96000000014</v>
      </c>
      <c r="D83" s="39">
        <v>-457382.83999999985</v>
      </c>
      <c r="E83" s="39">
        <v>4196471.2</v>
      </c>
      <c r="F83" s="39">
        <v>704255.88000000035</v>
      </c>
      <c r="G83" s="39">
        <v>798742.12000000011</v>
      </c>
      <c r="H83" s="39">
        <v>3653985.4400000004</v>
      </c>
      <c r="I83" s="39">
        <v>2404504.6</v>
      </c>
      <c r="J83" s="39">
        <v>2573106.2400000002</v>
      </c>
      <c r="K83">
        <v>3954193.24</v>
      </c>
      <c r="L83">
        <v>3968808.52</v>
      </c>
      <c r="M83">
        <v>-739329.76</v>
      </c>
      <c r="N83">
        <v>1237852.7599999998</v>
      </c>
      <c r="O83">
        <v>-836024.59999999986</v>
      </c>
      <c r="P83">
        <v>4206958.68</v>
      </c>
      <c r="Q83">
        <v>-1272059.6000000001</v>
      </c>
      <c r="R83">
        <v>2034092.08</v>
      </c>
      <c r="S83">
        <v>3679558.28</v>
      </c>
      <c r="T83">
        <v>2026417.3599999999</v>
      </c>
      <c r="U83">
        <v>2918175.04</v>
      </c>
      <c r="V83">
        <v>-1409717.8399999999</v>
      </c>
      <c r="W83">
        <v>-766098.47999999986</v>
      </c>
      <c r="X83">
        <v>822109.35999999987</v>
      </c>
      <c r="Y83">
        <v>2397521.88</v>
      </c>
      <c r="Z83">
        <v>3928664.9999999995</v>
      </c>
    </row>
    <row r="84" spans="3:26" x14ac:dyDescent="0.25">
      <c r="C84">
        <v>4180671.12</v>
      </c>
      <c r="D84" s="39">
        <v>4211638</v>
      </c>
      <c r="E84" s="39">
        <v>-1229577.48</v>
      </c>
      <c r="F84" s="39">
        <v>3149071.44</v>
      </c>
      <c r="G84" s="39">
        <v>-586116.35999999987</v>
      </c>
      <c r="H84" s="39">
        <v>-923208.76000000013</v>
      </c>
      <c r="I84" s="39">
        <v>1043882.8000000003</v>
      </c>
      <c r="J84" s="39">
        <v>2904215.92</v>
      </c>
      <c r="K84">
        <v>1794749.1600000001</v>
      </c>
      <c r="L84">
        <v>1381940.4800000002</v>
      </c>
      <c r="M84">
        <v>2272415.4000000004</v>
      </c>
      <c r="N84">
        <v>3934023.0000000005</v>
      </c>
      <c r="O84">
        <v>4197686.08</v>
      </c>
      <c r="P84">
        <v>-928383.27999999968</v>
      </c>
      <c r="Q84">
        <v>-46969.600000000093</v>
      </c>
      <c r="R84">
        <v>4645529.24</v>
      </c>
      <c r="S84">
        <v>4641851.24</v>
      </c>
      <c r="T84">
        <v>-1718107.7599999998</v>
      </c>
      <c r="U84">
        <v>2277625.44</v>
      </c>
      <c r="V84">
        <v>2820174.72</v>
      </c>
      <c r="W84">
        <v>1127342.4400000002</v>
      </c>
      <c r="X84">
        <v>-1759917.44</v>
      </c>
      <c r="Y84">
        <v>-515226.52</v>
      </c>
      <c r="Z84">
        <v>279919.52</v>
      </c>
    </row>
    <row r="85" spans="3:26" x14ac:dyDescent="0.25">
      <c r="C85">
        <v>3664776.24</v>
      </c>
      <c r="D85" s="39">
        <v>2039069.4000000004</v>
      </c>
      <c r="E85" s="39">
        <v>4640384.4000000004</v>
      </c>
      <c r="F85" s="39">
        <v>3612786.28</v>
      </c>
      <c r="G85" s="39">
        <v>-929186.88000000012</v>
      </c>
      <c r="H85" s="39">
        <v>4175396.4000000004</v>
      </c>
      <c r="I85" s="39">
        <v>3959770.8400000008</v>
      </c>
      <c r="J85" s="39">
        <v>2272801.56</v>
      </c>
      <c r="K85">
        <v>3703606.4800000004</v>
      </c>
      <c r="L85">
        <v>936613.47999999986</v>
      </c>
      <c r="M85">
        <v>-1142823.3599999999</v>
      </c>
      <c r="N85">
        <v>1216436.44</v>
      </c>
      <c r="O85">
        <v>4193702.04</v>
      </c>
      <c r="P85">
        <v>-1362679.5199999996</v>
      </c>
      <c r="Q85">
        <v>-1334252.6799999997</v>
      </c>
      <c r="R85">
        <v>2378668.08</v>
      </c>
      <c r="S85">
        <v>2660671.16</v>
      </c>
      <c r="T85">
        <v>2674496.3600000003</v>
      </c>
      <c r="U85">
        <v>2549175.9999999995</v>
      </c>
      <c r="V85">
        <v>-1287357.6799999997</v>
      </c>
      <c r="W85">
        <v>-1193550.6399999999</v>
      </c>
      <c r="X85">
        <v>-940273.80000000016</v>
      </c>
      <c r="Y85">
        <v>870162.32000000007</v>
      </c>
      <c r="Z85">
        <v>-1611020.8400000003</v>
      </c>
    </row>
    <row r="86" spans="3:26" x14ac:dyDescent="0.25">
      <c r="C86">
        <v>1746852.9600000004</v>
      </c>
      <c r="D86" s="39">
        <v>2934775.08</v>
      </c>
      <c r="E86" s="39">
        <v>-542513.80000000005</v>
      </c>
      <c r="F86" s="39">
        <v>1448024.6800000002</v>
      </c>
      <c r="G86" s="39">
        <v>-945524.6399999999</v>
      </c>
      <c r="H86" s="39">
        <v>-903251.24000000011</v>
      </c>
      <c r="I86" s="39">
        <v>2365350.04</v>
      </c>
      <c r="J86" s="39">
        <v>9703.7999999999302</v>
      </c>
      <c r="K86">
        <v>3639427.76</v>
      </c>
      <c r="L86">
        <v>-1250790.9200000002</v>
      </c>
      <c r="M86">
        <v>3636777.92</v>
      </c>
      <c r="N86">
        <v>114963.64000000013</v>
      </c>
      <c r="O86">
        <v>2656425.2399999998</v>
      </c>
      <c r="P86">
        <v>4188285.08</v>
      </c>
      <c r="Q86">
        <v>2569883.2000000002</v>
      </c>
      <c r="R86">
        <v>1305340.2000000002</v>
      </c>
      <c r="S86">
        <v>-372085.92000000004</v>
      </c>
      <c r="T86">
        <v>-813854.76000000013</v>
      </c>
      <c r="U86">
        <v>2065369.12</v>
      </c>
      <c r="V86">
        <v>4207451.88</v>
      </c>
      <c r="W86">
        <v>-1570935.6799999997</v>
      </c>
      <c r="X86">
        <v>3648572.48</v>
      </c>
      <c r="Y86">
        <v>-767513.95999999985</v>
      </c>
      <c r="Z86">
        <v>2105382.96</v>
      </c>
    </row>
    <row r="87" spans="3:26" x14ac:dyDescent="0.25">
      <c r="C87">
        <v>3697017.84</v>
      </c>
      <c r="D87" s="39">
        <v>2136389.6800000002</v>
      </c>
      <c r="E87" s="39">
        <v>1833075.6400000001</v>
      </c>
      <c r="F87" s="39">
        <v>1282532.2799999998</v>
      </c>
      <c r="G87" s="39">
        <v>1128236.08</v>
      </c>
      <c r="H87" s="39">
        <v>3417.0800000003073</v>
      </c>
      <c r="I87" s="39">
        <v>-815542.27999999956</v>
      </c>
      <c r="J87" s="39">
        <v>2915300.6400000006</v>
      </c>
      <c r="K87">
        <v>3945823.1599999997</v>
      </c>
      <c r="L87">
        <v>1275120.0799999998</v>
      </c>
      <c r="M87">
        <v>4193933.28</v>
      </c>
      <c r="N87">
        <v>4644955.8</v>
      </c>
      <c r="O87">
        <v>2332786.7599999998</v>
      </c>
      <c r="P87">
        <v>3921060.48</v>
      </c>
      <c r="Q87">
        <v>-500944.04000000004</v>
      </c>
      <c r="R87">
        <v>1606200.6800000002</v>
      </c>
      <c r="S87">
        <v>3949252.2800000003</v>
      </c>
      <c r="T87">
        <v>2630778</v>
      </c>
      <c r="U87">
        <v>3918051.8400000008</v>
      </c>
      <c r="V87">
        <v>3177949.44</v>
      </c>
      <c r="W87">
        <v>1792245.96</v>
      </c>
      <c r="X87">
        <v>-1402857.48</v>
      </c>
      <c r="Y87">
        <v>3960807.2399999998</v>
      </c>
      <c r="Z87">
        <v>934470.28000000026</v>
      </c>
    </row>
    <row r="88" spans="3:26" x14ac:dyDescent="0.25">
      <c r="C88">
        <v>2574447.12</v>
      </c>
      <c r="D88" s="39">
        <v>1459610.84</v>
      </c>
      <c r="E88" s="39">
        <v>247616.6399999999</v>
      </c>
      <c r="F88" s="39">
        <v>397384.0400000001</v>
      </c>
      <c r="G88" s="39">
        <v>1703374.8000000003</v>
      </c>
      <c r="H88" s="39">
        <v>4209608.2</v>
      </c>
      <c r="I88" s="39">
        <v>2073163.3599999999</v>
      </c>
      <c r="J88" s="39">
        <v>-494251.51999999979</v>
      </c>
      <c r="K88">
        <v>2100460.8000000003</v>
      </c>
      <c r="L88">
        <v>1380552.2400000002</v>
      </c>
      <c r="M88">
        <v>-438491.19999999984</v>
      </c>
      <c r="N88">
        <v>2600146.56</v>
      </c>
      <c r="O88">
        <v>1973246.84</v>
      </c>
      <c r="P88">
        <v>4204208.04</v>
      </c>
      <c r="Q88">
        <v>3661402.08</v>
      </c>
      <c r="R88">
        <v>1174652.7599999998</v>
      </c>
      <c r="S88">
        <v>1250961.5599999998</v>
      </c>
      <c r="T88">
        <v>3639030.7199999997</v>
      </c>
      <c r="U88">
        <v>3173203.12</v>
      </c>
      <c r="V88">
        <v>2301271.1999999997</v>
      </c>
      <c r="W88">
        <v>3664307.4399999995</v>
      </c>
      <c r="X88">
        <v>3169715.4399999995</v>
      </c>
      <c r="Y88">
        <v>1506276.96</v>
      </c>
      <c r="Z88">
        <v>542257.04000000027</v>
      </c>
    </row>
    <row r="89" spans="3:26" x14ac:dyDescent="0.25">
      <c r="C89">
        <v>-1061635.5999999996</v>
      </c>
      <c r="D89" s="39">
        <v>2335965.84</v>
      </c>
      <c r="E89" s="39">
        <v>4187100.08</v>
      </c>
      <c r="F89" s="39">
        <v>3706891.12</v>
      </c>
      <c r="G89" s="39">
        <v>2914857.2</v>
      </c>
      <c r="H89" s="39">
        <v>-1346534.6400000001</v>
      </c>
      <c r="I89" s="39">
        <v>679103.12000000011</v>
      </c>
      <c r="J89" s="39">
        <v>227312.92000000033</v>
      </c>
      <c r="K89">
        <v>1495352.3599999999</v>
      </c>
      <c r="L89">
        <v>3690514.56</v>
      </c>
      <c r="M89">
        <v>3675769.5200000005</v>
      </c>
      <c r="N89">
        <v>207674.56000000017</v>
      </c>
      <c r="O89">
        <v>2014990.8</v>
      </c>
      <c r="P89">
        <v>237484.43999999977</v>
      </c>
      <c r="Q89">
        <v>612876.11999999988</v>
      </c>
      <c r="R89">
        <v>4638560.3600000003</v>
      </c>
      <c r="S89">
        <v>2265681.8800000004</v>
      </c>
      <c r="T89">
        <v>3652366.72</v>
      </c>
      <c r="U89">
        <v>-1481220.88</v>
      </c>
      <c r="V89">
        <v>660193.6399999999</v>
      </c>
      <c r="W89">
        <v>678963.19999999995</v>
      </c>
      <c r="X89">
        <v>4181757.5199999996</v>
      </c>
      <c r="Y89">
        <v>2655741.7999999998</v>
      </c>
      <c r="Z89">
        <v>1425516.6800000002</v>
      </c>
    </row>
    <row r="90" spans="3:26" x14ac:dyDescent="0.25">
      <c r="C90">
        <v>-583934.36</v>
      </c>
      <c r="D90" s="39">
        <v>772712.84000000008</v>
      </c>
      <c r="E90" s="39">
        <v>3620487.84</v>
      </c>
      <c r="F90" s="39">
        <v>591101.20000000007</v>
      </c>
      <c r="G90" s="39">
        <v>-1414434.88</v>
      </c>
      <c r="H90" s="39">
        <v>-170461.92000000004</v>
      </c>
      <c r="I90" s="39">
        <v>-430686.92000000004</v>
      </c>
      <c r="J90" s="39">
        <v>4194804.28</v>
      </c>
      <c r="K90">
        <v>-1014499.64</v>
      </c>
      <c r="L90">
        <v>3191615.9199999995</v>
      </c>
      <c r="M90">
        <v>621551.08000000007</v>
      </c>
      <c r="N90">
        <v>2604822.4000000004</v>
      </c>
      <c r="O90">
        <v>2298699.36</v>
      </c>
      <c r="P90">
        <v>4640204.6399999997</v>
      </c>
      <c r="Q90">
        <v>3914435.6799999997</v>
      </c>
      <c r="R90">
        <v>-810777.08000000019</v>
      </c>
      <c r="S90">
        <v>4648358.08</v>
      </c>
      <c r="T90">
        <v>-1226186.2000000002</v>
      </c>
      <c r="U90">
        <v>-874621.91999999981</v>
      </c>
      <c r="V90">
        <v>-826999.71999999974</v>
      </c>
      <c r="W90">
        <v>1024129.6800000002</v>
      </c>
      <c r="X90">
        <v>-490224.04000000015</v>
      </c>
      <c r="Y90">
        <v>-873296.99999999988</v>
      </c>
      <c r="Z90">
        <v>611683.08000000007</v>
      </c>
    </row>
    <row r="91" spans="3:26" x14ac:dyDescent="0.25">
      <c r="C91">
        <v>3652043.44</v>
      </c>
      <c r="D91" s="39">
        <v>3635605.72</v>
      </c>
      <c r="E91" s="39">
        <v>1241511.2</v>
      </c>
      <c r="F91" s="39">
        <v>2432382.3199999998</v>
      </c>
      <c r="G91" s="39">
        <v>3620591.7199999997</v>
      </c>
      <c r="H91" s="39">
        <v>4216987.12</v>
      </c>
      <c r="I91" s="39">
        <v>2937589.7599999998</v>
      </c>
      <c r="J91" s="39">
        <v>3686338.4</v>
      </c>
      <c r="K91">
        <v>3207397.8800000004</v>
      </c>
      <c r="L91">
        <v>1177358.6000000003</v>
      </c>
      <c r="M91">
        <v>1291848.6400000001</v>
      </c>
      <c r="N91">
        <v>3690330.16</v>
      </c>
      <c r="O91">
        <v>3930370.48</v>
      </c>
      <c r="P91">
        <v>2109133.7600000002</v>
      </c>
      <c r="Q91">
        <v>2138449.08</v>
      </c>
      <c r="R91">
        <v>986382.55999999982</v>
      </c>
      <c r="S91">
        <v>3957710.4000000004</v>
      </c>
      <c r="T91">
        <v>169745.64</v>
      </c>
      <c r="U91">
        <v>1785285.52</v>
      </c>
      <c r="V91">
        <v>3712942.16</v>
      </c>
      <c r="W91">
        <v>108492.27999999985</v>
      </c>
      <c r="X91">
        <v>4652214.3600000003</v>
      </c>
      <c r="Y91">
        <v>957405.44000000018</v>
      </c>
      <c r="Z91">
        <v>244662.88000000012</v>
      </c>
    </row>
    <row r="92" spans="3:26" x14ac:dyDescent="0.25">
      <c r="C92">
        <v>-1386241.1600000001</v>
      </c>
      <c r="D92" s="39">
        <v>4654699.96</v>
      </c>
      <c r="E92" s="39">
        <v>2357568.7999999998</v>
      </c>
      <c r="F92" s="39">
        <v>3958349.76</v>
      </c>
      <c r="G92" s="39">
        <v>793078.08000000019</v>
      </c>
      <c r="H92" s="39">
        <v>710463.11999999988</v>
      </c>
      <c r="I92" s="39">
        <v>-1415979.5999999996</v>
      </c>
      <c r="J92" s="39">
        <v>3171238.5199999996</v>
      </c>
      <c r="K92">
        <v>-1282658.5999999999</v>
      </c>
      <c r="L92">
        <v>4202508.28</v>
      </c>
      <c r="M92">
        <v>3673940.84</v>
      </c>
      <c r="N92">
        <v>2331005.08</v>
      </c>
      <c r="O92">
        <v>1529650.72</v>
      </c>
      <c r="P92">
        <v>3926410.3200000003</v>
      </c>
      <c r="Q92">
        <v>64124.720000000088</v>
      </c>
      <c r="R92">
        <v>4205514.88</v>
      </c>
      <c r="S92">
        <v>2419697.2000000002</v>
      </c>
      <c r="T92">
        <v>682280.72</v>
      </c>
      <c r="U92">
        <v>-427243.63999999978</v>
      </c>
      <c r="V92">
        <v>1120519.92</v>
      </c>
      <c r="W92">
        <v>2049223.6</v>
      </c>
      <c r="X92">
        <v>941591.44</v>
      </c>
      <c r="Y92">
        <v>633713</v>
      </c>
      <c r="Z92">
        <v>194584.36000000028</v>
      </c>
    </row>
    <row r="93" spans="3:26" x14ac:dyDescent="0.25">
      <c r="C93">
        <v>3195330.2399999998</v>
      </c>
      <c r="D93" s="39">
        <v>-908790.4800000001</v>
      </c>
      <c r="E93" s="39">
        <v>3924869.6</v>
      </c>
      <c r="F93" s="39">
        <v>4197165.08</v>
      </c>
      <c r="G93" s="39">
        <v>-859517.23999999976</v>
      </c>
      <c r="H93" s="39">
        <v>248408.20000000007</v>
      </c>
      <c r="I93" s="39">
        <v>162694.24000000011</v>
      </c>
      <c r="J93" s="39">
        <v>-388508.6399999999</v>
      </c>
      <c r="K93">
        <v>2318454.4000000004</v>
      </c>
      <c r="L93">
        <v>-1458199.2799999998</v>
      </c>
      <c r="M93">
        <v>1518503.3199999998</v>
      </c>
      <c r="N93">
        <v>2615779.3200000003</v>
      </c>
      <c r="O93">
        <v>3179064.5600000005</v>
      </c>
      <c r="P93">
        <v>570169.31999999983</v>
      </c>
      <c r="Q93">
        <v>3654924.0799999996</v>
      </c>
      <c r="R93">
        <v>3626446.72</v>
      </c>
      <c r="S93">
        <v>3183318.08</v>
      </c>
      <c r="T93">
        <v>-408081.80000000005</v>
      </c>
      <c r="U93">
        <v>3645193.36</v>
      </c>
      <c r="V93">
        <v>2572463.2799999998</v>
      </c>
      <c r="W93">
        <v>3943175.96</v>
      </c>
      <c r="X93">
        <v>3640809</v>
      </c>
      <c r="Y93">
        <v>144798.68</v>
      </c>
      <c r="Z93">
        <v>-681744.03999999969</v>
      </c>
    </row>
    <row r="94" spans="3:26" x14ac:dyDescent="0.25">
      <c r="C94">
        <v>931898.44000000018</v>
      </c>
      <c r="D94" s="39">
        <v>-1281494.6399999997</v>
      </c>
      <c r="E94" s="39">
        <v>-912444.48</v>
      </c>
      <c r="F94" s="39">
        <v>1109349.7599999998</v>
      </c>
      <c r="G94" s="39">
        <v>-1314230.7999999998</v>
      </c>
      <c r="H94" s="39">
        <v>2646113.7999999998</v>
      </c>
      <c r="I94" s="39">
        <v>2094490.2799999998</v>
      </c>
      <c r="J94" s="39">
        <v>2353226.4000000004</v>
      </c>
      <c r="K94">
        <v>1773417.8399999999</v>
      </c>
      <c r="L94">
        <v>3217011</v>
      </c>
      <c r="M94">
        <v>4208498.76</v>
      </c>
      <c r="N94">
        <v>2310096.56</v>
      </c>
      <c r="O94">
        <v>1445014.08</v>
      </c>
      <c r="P94">
        <v>2373885.8400000003</v>
      </c>
      <c r="Q94">
        <v>1213193.3999999999</v>
      </c>
      <c r="R94">
        <v>582752.03999999992</v>
      </c>
      <c r="S94">
        <v>3935629.76</v>
      </c>
      <c r="T94">
        <v>4203723.28</v>
      </c>
      <c r="U94">
        <v>-846484.00000000012</v>
      </c>
      <c r="V94">
        <v>3680305.96</v>
      </c>
      <c r="W94">
        <v>1366860.3199999998</v>
      </c>
      <c r="X94">
        <v>2400101</v>
      </c>
      <c r="Y94">
        <v>4202317.84</v>
      </c>
      <c r="Z94">
        <v>-1448197</v>
      </c>
    </row>
    <row r="95" spans="3:26" x14ac:dyDescent="0.25">
      <c r="C95">
        <v>322997.55999999982</v>
      </c>
      <c r="D95" s="39">
        <v>2008405.5199999996</v>
      </c>
      <c r="E95" s="39">
        <v>1238684.6800000002</v>
      </c>
      <c r="F95" s="39">
        <v>310284.44000000012</v>
      </c>
      <c r="G95" s="39">
        <v>3915707.96</v>
      </c>
      <c r="H95" s="39">
        <v>900984.84000000032</v>
      </c>
      <c r="I95" s="39">
        <v>-498320.8400000002</v>
      </c>
      <c r="J95" s="39">
        <v>274983</v>
      </c>
      <c r="K95">
        <v>-437536.68000000005</v>
      </c>
      <c r="L95">
        <v>-798462.11999999988</v>
      </c>
      <c r="M95">
        <v>3914729.8800000004</v>
      </c>
      <c r="N95">
        <v>1665797.6400000001</v>
      </c>
      <c r="O95">
        <v>3720466.6000000006</v>
      </c>
      <c r="P95">
        <v>3698408.68</v>
      </c>
      <c r="Q95">
        <v>2346720.6000000006</v>
      </c>
      <c r="R95">
        <v>600578.40000000014</v>
      </c>
      <c r="S95">
        <v>1959246.32</v>
      </c>
      <c r="T95">
        <v>3682377.72</v>
      </c>
      <c r="U95">
        <v>2290925.52</v>
      </c>
      <c r="V95">
        <v>3969087.08</v>
      </c>
      <c r="W95">
        <v>181020.36000000028</v>
      </c>
      <c r="X95">
        <v>715054.72</v>
      </c>
      <c r="Y95">
        <v>2951454.7200000002</v>
      </c>
      <c r="Z95">
        <v>-1126018.1600000001</v>
      </c>
    </row>
    <row r="96" spans="3:26" x14ac:dyDescent="0.25">
      <c r="C96">
        <v>3151438.04</v>
      </c>
      <c r="D96" s="39">
        <v>2076450.4400000004</v>
      </c>
      <c r="E96" s="39">
        <v>1529612.12</v>
      </c>
      <c r="F96" s="39">
        <v>3944145.28</v>
      </c>
      <c r="G96" s="39">
        <v>3664590.88</v>
      </c>
      <c r="H96" s="39">
        <v>1768649.3200000003</v>
      </c>
      <c r="I96" s="39">
        <v>3672630.4000000004</v>
      </c>
      <c r="J96" s="39">
        <v>-1547701.1999999997</v>
      </c>
      <c r="K96">
        <v>566046.52000000025</v>
      </c>
      <c r="L96">
        <v>2034186.5600000003</v>
      </c>
      <c r="M96">
        <v>-936532.71999999986</v>
      </c>
      <c r="N96">
        <v>3659153.5199999996</v>
      </c>
      <c r="O96">
        <v>2419556.44</v>
      </c>
      <c r="P96">
        <v>4632914.28</v>
      </c>
      <c r="Q96">
        <v>1132218.7200000002</v>
      </c>
      <c r="R96">
        <v>538498.5199999999</v>
      </c>
      <c r="S96">
        <v>2285194.36</v>
      </c>
      <c r="T96">
        <v>1006416.8000000003</v>
      </c>
      <c r="U96">
        <v>849893.48</v>
      </c>
      <c r="V96">
        <v>-88835.079999999958</v>
      </c>
      <c r="W96">
        <v>702041.24000000034</v>
      </c>
      <c r="X96">
        <v>2916003.52</v>
      </c>
      <c r="Y96">
        <v>2302689.64</v>
      </c>
      <c r="Z96">
        <v>-490785.39999999991</v>
      </c>
    </row>
    <row r="97" spans="3:13" x14ac:dyDescent="0.25">
      <c r="D97" s="39"/>
      <c r="E97" s="39"/>
      <c r="F97" s="39"/>
      <c r="G97" s="39"/>
      <c r="H97" s="39"/>
      <c r="I97" s="39"/>
      <c r="J97" s="39"/>
    </row>
    <row r="98" spans="3:13" x14ac:dyDescent="0.25">
      <c r="D98" s="39"/>
      <c r="E98" s="39"/>
      <c r="F98" s="39"/>
      <c r="G98" s="39"/>
      <c r="H98" s="39"/>
      <c r="I98" s="39"/>
      <c r="J98" s="39"/>
    </row>
    <row r="99" spans="3:13" x14ac:dyDescent="0.25">
      <c r="D99" s="39"/>
      <c r="E99" s="39"/>
      <c r="F99" s="39"/>
      <c r="G99" s="39"/>
      <c r="H99" s="39"/>
      <c r="I99" s="39"/>
      <c r="J99" s="39"/>
    </row>
    <row r="100" spans="3:13" x14ac:dyDescent="0.25">
      <c r="C100" s="143" t="s">
        <v>104</v>
      </c>
      <c r="D100" s="148" t="s">
        <v>20</v>
      </c>
      <c r="E100" s="149">
        <f>AVERAGE(C7:Z96)</f>
        <v>1583358.7599444452</v>
      </c>
      <c r="F100" s="150" t="s">
        <v>96</v>
      </c>
      <c r="G100" s="149">
        <f>MAX(C7:Z96)</f>
        <v>4667644.12</v>
      </c>
      <c r="H100" s="150" t="s">
        <v>97</v>
      </c>
      <c r="I100" s="149">
        <f>MIN(C7:Z96)</f>
        <v>-2015363.2400000002</v>
      </c>
      <c r="J100" s="149"/>
      <c r="K100" s="150" t="s">
        <v>101</v>
      </c>
      <c r="L100" s="150"/>
      <c r="M100" s="151">
        <f>COUNTIF((C7:Z96), "&lt;0")</f>
        <v>496</v>
      </c>
    </row>
    <row r="101" spans="3:13" ht="15.75" thickBot="1" x14ac:dyDescent="0.3">
      <c r="D101" s="183"/>
      <c r="E101" s="152"/>
      <c r="F101" s="153" t="s">
        <v>108</v>
      </c>
      <c r="G101" s="152">
        <v>4745570.1999999993</v>
      </c>
      <c r="H101" s="153" t="s">
        <v>108</v>
      </c>
      <c r="I101" s="152">
        <v>-2303151.4381666658</v>
      </c>
      <c r="J101" s="152"/>
      <c r="K101" s="153" t="s">
        <v>102</v>
      </c>
      <c r="L101" s="153"/>
      <c r="M101" s="154">
        <f>COUNTIF((C7:Z96), "&gt;0")</f>
        <v>1664</v>
      </c>
    </row>
    <row r="102" spans="3:13" ht="15.75" thickBot="1" x14ac:dyDescent="0.3">
      <c r="C102" s="40" t="s">
        <v>107</v>
      </c>
      <c r="D102" s="40" t="s">
        <v>111</v>
      </c>
    </row>
    <row r="103" spans="3:13" x14ac:dyDescent="0.25">
      <c r="C103" s="155" t="s">
        <v>93</v>
      </c>
      <c r="D103" s="156" t="s">
        <v>95</v>
      </c>
    </row>
    <row r="104" spans="3:13" x14ac:dyDescent="0.25">
      <c r="C104" s="157">
        <v>-2200000</v>
      </c>
      <c r="D104" s="158">
        <v>4</v>
      </c>
      <c r="E104" s="3"/>
    </row>
    <row r="105" spans="3:13" x14ac:dyDescent="0.25">
      <c r="C105" s="157">
        <v>-1900000</v>
      </c>
      <c r="D105" s="158">
        <v>29</v>
      </c>
      <c r="E105" s="3"/>
    </row>
    <row r="106" spans="3:13" x14ac:dyDescent="0.25">
      <c r="C106" s="157">
        <v>-1600000</v>
      </c>
      <c r="D106" s="158">
        <v>27</v>
      </c>
      <c r="E106" s="3"/>
    </row>
    <row r="107" spans="3:13" x14ac:dyDescent="0.25">
      <c r="C107" s="157">
        <v>-1300000</v>
      </c>
      <c r="D107" s="158">
        <v>69</v>
      </c>
      <c r="E107" s="3"/>
    </row>
    <row r="108" spans="3:13" x14ac:dyDescent="0.25">
      <c r="C108" s="157">
        <v>-1000000</v>
      </c>
      <c r="D108" s="158">
        <v>50</v>
      </c>
      <c r="E108" s="3"/>
    </row>
    <row r="109" spans="3:13" x14ac:dyDescent="0.25">
      <c r="C109" s="157">
        <v>-700000</v>
      </c>
      <c r="D109" s="158">
        <v>65</v>
      </c>
      <c r="E109" s="3"/>
    </row>
    <row r="110" spans="3:13" x14ac:dyDescent="0.25">
      <c r="C110" s="157">
        <v>-400000</v>
      </c>
      <c r="D110" s="158">
        <v>66</v>
      </c>
      <c r="E110" s="3"/>
    </row>
    <row r="111" spans="3:13" x14ac:dyDescent="0.25">
      <c r="C111" s="157">
        <v>-100000</v>
      </c>
      <c r="D111" s="158">
        <v>44</v>
      </c>
      <c r="E111" s="3"/>
    </row>
    <row r="112" spans="3:13" x14ac:dyDescent="0.25">
      <c r="C112" s="157">
        <v>200000</v>
      </c>
      <c r="D112" s="158">
        <v>81</v>
      </c>
      <c r="E112" s="3"/>
    </row>
    <row r="113" spans="3:5" x14ac:dyDescent="0.25">
      <c r="C113" s="157">
        <v>500000</v>
      </c>
      <c r="D113" s="158">
        <v>99</v>
      </c>
      <c r="E113" s="3"/>
    </row>
    <row r="114" spans="3:5" x14ac:dyDescent="0.25">
      <c r="C114" s="157">
        <v>800000</v>
      </c>
      <c r="D114" s="158">
        <v>74</v>
      </c>
      <c r="E114" s="3"/>
    </row>
    <row r="115" spans="3:5" x14ac:dyDescent="0.25">
      <c r="C115" s="157">
        <v>1100000</v>
      </c>
      <c r="D115" s="158">
        <v>21</v>
      </c>
      <c r="E115" s="3"/>
    </row>
    <row r="116" spans="3:5" x14ac:dyDescent="0.25">
      <c r="C116" s="157">
        <v>1400000</v>
      </c>
      <c r="D116" s="158">
        <v>46</v>
      </c>
      <c r="E116" s="3"/>
    </row>
    <row r="117" spans="3:5" x14ac:dyDescent="0.25">
      <c r="C117" s="157">
        <v>1700000</v>
      </c>
      <c r="D117" s="158">
        <v>28</v>
      </c>
      <c r="E117" s="3"/>
    </row>
    <row r="118" spans="3:5" x14ac:dyDescent="0.25">
      <c r="C118" s="157">
        <v>2000000</v>
      </c>
      <c r="D118" s="158">
        <v>49</v>
      </c>
      <c r="E118" s="3"/>
    </row>
    <row r="119" spans="3:5" x14ac:dyDescent="0.25">
      <c r="C119" s="157">
        <v>2300000</v>
      </c>
      <c r="D119" s="158">
        <v>117</v>
      </c>
      <c r="E119" s="3"/>
    </row>
    <row r="120" spans="3:5" x14ac:dyDescent="0.25">
      <c r="C120" s="157">
        <v>2600000</v>
      </c>
      <c r="D120" s="158">
        <v>2</v>
      </c>
      <c r="E120" s="3"/>
    </row>
    <row r="121" spans="3:5" x14ac:dyDescent="0.25">
      <c r="C121" s="157">
        <v>2900000</v>
      </c>
      <c r="D121" s="158">
        <v>97</v>
      </c>
      <c r="E121" s="3"/>
    </row>
    <row r="122" spans="3:5" x14ac:dyDescent="0.25">
      <c r="C122" s="157">
        <v>3200000</v>
      </c>
      <c r="D122" s="158">
        <v>42</v>
      </c>
      <c r="E122" s="3"/>
    </row>
    <row r="123" spans="3:5" x14ac:dyDescent="0.25">
      <c r="C123" s="157">
        <v>3500000</v>
      </c>
      <c r="D123" s="158">
        <v>50</v>
      </c>
    </row>
    <row r="124" spans="3:5" x14ac:dyDescent="0.25">
      <c r="C124" s="157">
        <v>3800000</v>
      </c>
      <c r="D124" s="158">
        <v>85</v>
      </c>
    </row>
    <row r="125" spans="3:5" x14ac:dyDescent="0.25">
      <c r="C125" s="157">
        <v>4100000</v>
      </c>
      <c r="D125" s="158">
        <v>82</v>
      </c>
    </row>
    <row r="126" spans="3:5" x14ac:dyDescent="0.25">
      <c r="C126" s="157">
        <v>4400000</v>
      </c>
      <c r="D126" s="158">
        <v>99</v>
      </c>
    </row>
    <row r="127" spans="3:5" x14ac:dyDescent="0.25">
      <c r="C127" s="157">
        <v>4700000</v>
      </c>
      <c r="D127" s="158">
        <v>42</v>
      </c>
    </row>
    <row r="128" spans="3:5" ht="15.75" thickBot="1" x14ac:dyDescent="0.3">
      <c r="C128" s="159" t="s">
        <v>94</v>
      </c>
      <c r="D128" s="160">
        <v>0</v>
      </c>
    </row>
    <row r="129" spans="3:15" ht="15.75" thickBot="1" x14ac:dyDescent="0.3"/>
    <row r="130" spans="3:15" ht="15.75" thickBot="1" x14ac:dyDescent="0.3">
      <c r="C130" s="42" t="s">
        <v>107</v>
      </c>
      <c r="D130" s="40" t="s">
        <v>112</v>
      </c>
    </row>
    <row r="131" spans="3:15" x14ac:dyDescent="0.25">
      <c r="C131" s="155" t="s">
        <v>93</v>
      </c>
      <c r="D131" s="156" t="s">
        <v>95</v>
      </c>
      <c r="O131">
        <v>4620000</v>
      </c>
    </row>
    <row r="132" spans="3:15" x14ac:dyDescent="0.25">
      <c r="C132" s="157">
        <v>4620000</v>
      </c>
      <c r="D132" s="158">
        <v>0</v>
      </c>
      <c r="O132">
        <v>4625000</v>
      </c>
    </row>
    <row r="133" spans="3:15" x14ac:dyDescent="0.25">
      <c r="C133" s="157">
        <v>4625000</v>
      </c>
      <c r="D133" s="158">
        <v>0</v>
      </c>
      <c r="O133">
        <v>4630000</v>
      </c>
    </row>
    <row r="134" spans="3:15" x14ac:dyDescent="0.25">
      <c r="C134" s="157">
        <v>4630000</v>
      </c>
      <c r="D134" s="158">
        <v>0</v>
      </c>
      <c r="O134">
        <v>4635000</v>
      </c>
    </row>
    <row r="135" spans="3:15" x14ac:dyDescent="0.25">
      <c r="C135" s="157">
        <v>4635000</v>
      </c>
      <c r="D135" s="158">
        <v>0</v>
      </c>
      <c r="O135">
        <v>4640000</v>
      </c>
    </row>
    <row r="136" spans="3:15" x14ac:dyDescent="0.25">
      <c r="C136" s="157">
        <v>4640000</v>
      </c>
      <c r="D136" s="158">
        <v>1</v>
      </c>
      <c r="O136">
        <v>4645000</v>
      </c>
    </row>
    <row r="137" spans="3:15" x14ac:dyDescent="0.25">
      <c r="C137" s="157">
        <v>4645000</v>
      </c>
      <c r="D137" s="158">
        <v>1</v>
      </c>
      <c r="O137">
        <v>4650000</v>
      </c>
    </row>
    <row r="138" spans="3:15" x14ac:dyDescent="0.25">
      <c r="C138" s="157">
        <v>4650000</v>
      </c>
      <c r="D138" s="158">
        <v>21</v>
      </c>
      <c r="O138">
        <v>4655000</v>
      </c>
    </row>
    <row r="139" spans="3:15" x14ac:dyDescent="0.25">
      <c r="C139" s="157">
        <v>4655000</v>
      </c>
      <c r="D139" s="158">
        <v>48</v>
      </c>
      <c r="O139">
        <v>4660000</v>
      </c>
    </row>
    <row r="140" spans="3:15" x14ac:dyDescent="0.25">
      <c r="C140" s="157">
        <v>4660000</v>
      </c>
      <c r="D140" s="158">
        <v>101</v>
      </c>
      <c r="O140">
        <v>4665000</v>
      </c>
    </row>
    <row r="141" spans="3:15" x14ac:dyDescent="0.25">
      <c r="C141" s="157">
        <v>4665000</v>
      </c>
      <c r="D141" s="158">
        <v>200</v>
      </c>
      <c r="O141">
        <v>4670000</v>
      </c>
    </row>
    <row r="142" spans="3:15" x14ac:dyDescent="0.25">
      <c r="C142" s="157">
        <v>4670000</v>
      </c>
      <c r="D142" s="158">
        <v>285</v>
      </c>
      <c r="O142">
        <v>4675000</v>
      </c>
    </row>
    <row r="143" spans="3:15" x14ac:dyDescent="0.25">
      <c r="C143" s="157">
        <v>4675000</v>
      </c>
      <c r="D143" s="158">
        <v>267</v>
      </c>
      <c r="O143">
        <v>4680000</v>
      </c>
    </row>
    <row r="144" spans="3:15" x14ac:dyDescent="0.25">
      <c r="C144" s="157">
        <v>4680000</v>
      </c>
      <c r="D144" s="158">
        <v>236</v>
      </c>
      <c r="O144">
        <v>4685000</v>
      </c>
    </row>
    <row r="145" spans="3:15" x14ac:dyDescent="0.25">
      <c r="C145" s="157">
        <v>4685000</v>
      </c>
      <c r="D145" s="158">
        <v>122</v>
      </c>
      <c r="O145">
        <v>4690000</v>
      </c>
    </row>
    <row r="146" spans="3:15" x14ac:dyDescent="0.25">
      <c r="C146" s="157">
        <v>4690000</v>
      </c>
      <c r="D146" s="158">
        <v>63</v>
      </c>
      <c r="O146">
        <v>4695000</v>
      </c>
    </row>
    <row r="147" spans="3:15" x14ac:dyDescent="0.25">
      <c r="C147" s="157">
        <v>4695000</v>
      </c>
      <c r="D147" s="158">
        <v>21</v>
      </c>
      <c r="O147">
        <v>4700000</v>
      </c>
    </row>
    <row r="148" spans="3:15" x14ac:dyDescent="0.25">
      <c r="C148" s="157">
        <v>4700000</v>
      </c>
      <c r="D148" s="158">
        <v>1</v>
      </c>
      <c r="O148">
        <v>4705000</v>
      </c>
    </row>
    <row r="149" spans="3:15" x14ac:dyDescent="0.25">
      <c r="C149" s="157">
        <v>4705000</v>
      </c>
      <c r="D149" s="158">
        <v>1</v>
      </c>
      <c r="O149">
        <v>4710000</v>
      </c>
    </row>
    <row r="150" spans="3:15" x14ac:dyDescent="0.25">
      <c r="C150" s="157">
        <v>4710000</v>
      </c>
      <c r="D150" s="158">
        <v>0</v>
      </c>
      <c r="O150">
        <v>4715000</v>
      </c>
    </row>
    <row r="151" spans="3:15" x14ac:dyDescent="0.25">
      <c r="C151" s="157">
        <v>4715000</v>
      </c>
      <c r="D151" s="158">
        <v>0</v>
      </c>
      <c r="O151">
        <v>4720000</v>
      </c>
    </row>
    <row r="152" spans="3:15" x14ac:dyDescent="0.25">
      <c r="C152" s="157">
        <v>4720000</v>
      </c>
      <c r="D152" s="158">
        <v>0</v>
      </c>
      <c r="O152">
        <v>4725000</v>
      </c>
    </row>
    <row r="153" spans="3:15" x14ac:dyDescent="0.25">
      <c r="C153" s="157">
        <v>4725000</v>
      </c>
      <c r="D153" s="158">
        <v>0</v>
      </c>
      <c r="O153">
        <v>4730000</v>
      </c>
    </row>
    <row r="154" spans="3:15" x14ac:dyDescent="0.25">
      <c r="C154" s="157">
        <v>4730000</v>
      </c>
      <c r="D154" s="158">
        <v>0</v>
      </c>
      <c r="O154">
        <v>4735000</v>
      </c>
    </row>
    <row r="155" spans="3:15" x14ac:dyDescent="0.25">
      <c r="C155" s="157">
        <v>4735000</v>
      </c>
      <c r="D155" s="158">
        <v>0</v>
      </c>
    </row>
    <row r="156" spans="3:15" ht="15.75" thickBot="1" x14ac:dyDescent="0.3">
      <c r="C156" s="159" t="s">
        <v>94</v>
      </c>
      <c r="D156" s="160">
        <v>0</v>
      </c>
    </row>
  </sheetData>
  <sortState ref="C132:C155">
    <sortCondition ref="C132"/>
  </sortState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Q77"/>
  <sheetViews>
    <sheetView workbookViewId="0">
      <selection activeCell="G20" sqref="G20"/>
    </sheetView>
  </sheetViews>
  <sheetFormatPr defaultRowHeight="15" x14ac:dyDescent="0.25"/>
  <cols>
    <col min="1" max="1" width="4.5703125" style="3" customWidth="1"/>
    <col min="2" max="2" width="20.28515625" style="3" customWidth="1"/>
    <col min="3" max="3" width="16.28515625" style="3" customWidth="1"/>
    <col min="4" max="4" width="12" style="3" bestFit="1" customWidth="1"/>
    <col min="5" max="5" width="18" style="3" customWidth="1"/>
    <col min="6" max="6" width="12.85546875" style="3" customWidth="1"/>
    <col min="7" max="7" width="15.85546875" style="3" bestFit="1" customWidth="1"/>
    <col min="8" max="8" width="27.5703125" style="3" customWidth="1"/>
    <col min="9" max="9" width="23" style="3" customWidth="1"/>
    <col min="10" max="10" width="13.140625" style="3" customWidth="1"/>
    <col min="11" max="11" width="20.7109375" style="3" customWidth="1"/>
    <col min="12" max="12" width="15.7109375" style="3" customWidth="1"/>
    <col min="13" max="13" width="15.42578125" style="3" customWidth="1"/>
    <col min="14" max="14" width="12.85546875" style="3" customWidth="1"/>
    <col min="15" max="15" width="13.140625" style="3" customWidth="1"/>
    <col min="16" max="16" width="23.28515625" style="3" customWidth="1"/>
    <col min="17" max="17" width="18.140625" style="3" bestFit="1" customWidth="1"/>
    <col min="18" max="18" width="15" style="3" customWidth="1"/>
    <col min="19" max="19" width="13.7109375" style="3" customWidth="1"/>
    <col min="20" max="20" width="13.42578125" style="3" customWidth="1"/>
    <col min="21" max="16384" width="9.140625" style="3"/>
  </cols>
  <sheetData>
    <row r="3" spans="1:13" x14ac:dyDescent="0.25">
      <c r="H3" s="21" t="s">
        <v>89</v>
      </c>
      <c r="I3" s="23">
        <v>1000</v>
      </c>
      <c r="K3" s="20" t="s">
        <v>45</v>
      </c>
      <c r="L3" s="22">
        <f ca="1">RAND()</f>
        <v>8.7941028357809703E-2</v>
      </c>
    </row>
    <row r="4" spans="1:13" x14ac:dyDescent="0.25">
      <c r="B4" s="168"/>
      <c r="C4" s="168"/>
      <c r="D4" s="168"/>
      <c r="E4" s="168"/>
      <c r="F4" s="168"/>
      <c r="G4" s="168"/>
      <c r="H4" s="168"/>
    </row>
    <row r="5" spans="1:13" x14ac:dyDescent="0.25">
      <c r="A5" s="7"/>
      <c r="B5" s="184" t="s">
        <v>98</v>
      </c>
      <c r="C5" s="185" t="s">
        <v>84</v>
      </c>
      <c r="D5" s="186"/>
      <c r="E5" s="186"/>
      <c r="F5" s="186"/>
      <c r="G5" s="186"/>
      <c r="H5" s="187"/>
      <c r="I5" s="188" t="s">
        <v>98</v>
      </c>
      <c r="J5" s="189" t="s">
        <v>17</v>
      </c>
      <c r="K5" s="189"/>
      <c r="L5" s="189"/>
      <c r="M5" s="190"/>
    </row>
    <row r="6" spans="1:13" x14ac:dyDescent="0.25">
      <c r="A6" s="7"/>
      <c r="B6" s="191"/>
      <c r="C6" s="192" t="s">
        <v>7</v>
      </c>
      <c r="D6" s="193"/>
      <c r="E6" s="194" t="s">
        <v>85</v>
      </c>
      <c r="F6" s="176" t="s">
        <v>8</v>
      </c>
      <c r="G6" s="194" t="s">
        <v>85</v>
      </c>
      <c r="H6" s="195"/>
      <c r="I6" s="196"/>
      <c r="J6" s="197" t="s">
        <v>0</v>
      </c>
      <c r="K6" s="197" t="s">
        <v>1</v>
      </c>
      <c r="L6" s="197" t="s">
        <v>2</v>
      </c>
      <c r="M6" s="198" t="s">
        <v>3</v>
      </c>
    </row>
    <row r="7" spans="1:13" x14ac:dyDescent="0.25">
      <c r="A7" s="7"/>
      <c r="B7" s="199" t="s">
        <v>4</v>
      </c>
      <c r="C7" s="200" t="s">
        <v>86</v>
      </c>
      <c r="D7" s="201" t="s">
        <v>87</v>
      </c>
      <c r="E7" s="202"/>
      <c r="F7" s="203" t="s">
        <v>88</v>
      </c>
      <c r="G7" s="202"/>
      <c r="H7" s="204" t="s">
        <v>100</v>
      </c>
      <c r="I7" s="205" t="s">
        <v>113</v>
      </c>
      <c r="J7" s="206">
        <v>109</v>
      </c>
      <c r="K7" s="206">
        <v>98</v>
      </c>
      <c r="L7" s="206">
        <v>124</v>
      </c>
      <c r="M7" s="207">
        <v>93</v>
      </c>
    </row>
    <row r="8" spans="1:13" x14ac:dyDescent="0.25">
      <c r="A8" s="7"/>
      <c r="B8" s="173" t="s">
        <v>0</v>
      </c>
      <c r="C8" s="169">
        <f ca="1">ROUND(RAND()*23+7,0)*thousand</f>
        <v>11000</v>
      </c>
      <c r="D8" s="170">
        <f ca="1">ROUND(RAND()*200+150,0)*thousand</f>
        <v>326000</v>
      </c>
      <c r="E8" s="171">
        <f ca="1">IF(RAND()&lt;0.5,C8,D8)</f>
        <v>326000</v>
      </c>
      <c r="F8" s="169">
        <f ca="1">ROUND(89*(_xlfn.NORM.INV(RAND(),1,0.2)),0)*thousand</f>
        <v>102000</v>
      </c>
      <c r="G8" s="172">
        <f ca="1">IF(RAND()&lt;0.3,$E$8,$F$8)</f>
        <v>326000</v>
      </c>
      <c r="H8" s="208" t="s">
        <v>14</v>
      </c>
      <c r="I8" s="209" t="s">
        <v>114</v>
      </c>
      <c r="J8" s="206">
        <v>13</v>
      </c>
      <c r="K8" s="206">
        <v>27</v>
      </c>
      <c r="L8" s="206">
        <v>18</v>
      </c>
      <c r="M8" s="207">
        <v>18</v>
      </c>
    </row>
    <row r="9" spans="1:13" x14ac:dyDescent="0.25">
      <c r="A9" s="7"/>
      <c r="B9" s="173" t="s">
        <v>1</v>
      </c>
      <c r="C9" s="169">
        <f ca="1">ROUND(RAND()*3+7,0)*thousand</f>
        <v>8000</v>
      </c>
      <c r="D9" s="170">
        <f ca="1">ROUND(RAND()*45+60,0)*thousand</f>
        <v>83000</v>
      </c>
      <c r="E9" s="173">
        <f ca="1">IF(RAND()&lt;0.5,C9,D9)</f>
        <v>8000</v>
      </c>
      <c r="F9" s="169">
        <f ca="1">ROUND(34*(_xlfn.NORM.INV(RAND(),1,0.2)),0)*thousand</f>
        <v>40000</v>
      </c>
      <c r="G9" s="172">
        <f ca="1">IF(RAND()&lt;0.3,$E$9,$F$9)</f>
        <v>40000</v>
      </c>
      <c r="H9" s="195" t="s">
        <v>13</v>
      </c>
      <c r="I9" s="209" t="s">
        <v>9</v>
      </c>
      <c r="J9" s="206">
        <f>SQRT(J8)</f>
        <v>3.6055512754639891</v>
      </c>
      <c r="K9" s="206">
        <f>SQRT(K8)</f>
        <v>5.196152422706632</v>
      </c>
      <c r="L9" s="206">
        <f>SQRT(L8)</f>
        <v>4.2426406871192848</v>
      </c>
      <c r="M9" s="207">
        <f>SQRT(M8)</f>
        <v>4.2426406871192848</v>
      </c>
    </row>
    <row r="10" spans="1:13" x14ac:dyDescent="0.25">
      <c r="A10" s="7"/>
      <c r="B10" s="173" t="s">
        <v>5</v>
      </c>
      <c r="C10" s="169">
        <f ca="1">ROUND(RAND()*10+3,0)*thousand</f>
        <v>12000</v>
      </c>
      <c r="D10" s="170">
        <f ca="1">ROUND(RAND()*20+50,0)*thousand</f>
        <v>54000</v>
      </c>
      <c r="E10" s="173">
        <f ca="1">IF(RAND()&lt;0.5,C10,D10)</f>
        <v>54000</v>
      </c>
      <c r="F10" s="169">
        <f ca="1">ROUND(33*(_xlfn.NORM.INV(RAND(),1,0.15)),0)*thousand</f>
        <v>28000</v>
      </c>
      <c r="G10" s="172">
        <f ca="1">IF(RAND()&lt;0.3,$E$10,$F$10)</f>
        <v>54000</v>
      </c>
      <c r="H10" s="195" t="s">
        <v>12</v>
      </c>
      <c r="I10" s="209" t="s">
        <v>10</v>
      </c>
      <c r="J10" s="206">
        <f>LN( J7^2 / SQRT( J7^2 + J9^2 ))</f>
        <v>4.690801089325018</v>
      </c>
      <c r="K10" s="206">
        <f>LN( K7^2 / SQRT( K7^2 + K9^2 ))</f>
        <v>4.5835637865607115</v>
      </c>
      <c r="L10" s="206">
        <f>LN( L7^2 / SQRT( L7^2 + L9^2 ))</f>
        <v>4.8196965801629421</v>
      </c>
      <c r="M10" s="207">
        <f>LN( M7^2 / SQRT( M7^2 + M9^2 ))</f>
        <v>4.5315599917393392</v>
      </c>
    </row>
    <row r="11" spans="1:13" ht="15.75" thickBot="1" x14ac:dyDescent="0.3">
      <c r="A11" s="7"/>
      <c r="B11" s="176" t="s">
        <v>3</v>
      </c>
      <c r="C11" s="174">
        <f ca="1">ROUND(RAND()*4+6,0)*thousand</f>
        <v>7000</v>
      </c>
      <c r="D11" s="175">
        <f ca="1">ROUND(RAND()*20+50,0)*thousand</f>
        <v>68000</v>
      </c>
      <c r="E11" s="176">
        <f ca="1">IF(RAND()&lt;0.5,C11,D11)</f>
        <v>68000</v>
      </c>
      <c r="F11" s="174">
        <f ca="1">ROUND(31*(_xlfn.NORM.INV(RAND(),1,0.16)),0)*thousand</f>
        <v>31000</v>
      </c>
      <c r="G11" s="177">
        <f ca="1">IF(RAND()&lt;0.3,$E$11,$F$11)</f>
        <v>68000</v>
      </c>
      <c r="H11" s="210" t="s">
        <v>11</v>
      </c>
      <c r="I11" s="209" t="s">
        <v>10</v>
      </c>
      <c r="J11" s="18">
        <f>SQRT( LN(( J7^2 + J9^2 ) /J7^2 ))</f>
        <v>3.306940894923386E-2</v>
      </c>
      <c r="K11" s="18">
        <f>SQRT( LN(( K7^2 + K9^2 ) /K7^2 ))</f>
        <v>5.2984754597153273E-2</v>
      </c>
      <c r="L11" s="18">
        <f>SQRT( LN(( L7^2 + L9^2 ) /L7^2 ))</f>
        <v>3.4204837146067653E-2</v>
      </c>
      <c r="M11" s="19">
        <f>SQRT( LN(( M7^2 + M9^2 ) /M7^2 ))</f>
        <v>4.5596083470328404E-2</v>
      </c>
    </row>
    <row r="12" spans="1:13" ht="15.75" thickBot="1" x14ac:dyDescent="0.3">
      <c r="A12" s="7"/>
      <c r="B12" s="211" t="s">
        <v>77</v>
      </c>
      <c r="C12" s="212"/>
      <c r="D12" s="213">
        <v>0.25</v>
      </c>
      <c r="E12" s="170"/>
      <c r="F12" s="170"/>
      <c r="G12" s="195"/>
      <c r="H12" s="170"/>
      <c r="I12" s="214" t="s">
        <v>99</v>
      </c>
      <c r="J12" s="215">
        <f ca="1">ROUND(_xlfn.LOGNORM.INV(RAND(),J10,J11),0)</f>
        <v>107</v>
      </c>
      <c r="K12" s="215">
        <f ca="1">ROUND(_xlfn.LOGNORM.INV(RAND(),K10,K11),0)</f>
        <v>104</v>
      </c>
      <c r="L12" s="215">
        <f ca="1">ROUND(_xlfn.LOGNORM.INV(RAND(),L10,L11),0)</f>
        <v>129</v>
      </c>
      <c r="M12" s="216">
        <f ca="1">ROUND(_xlfn.LOGNORM.INV(RAND(),M10,M11),0)</f>
        <v>96</v>
      </c>
    </row>
    <row r="13" spans="1:13" ht="15.75" thickBot="1" x14ac:dyDescent="0.3">
      <c r="A13" s="7"/>
      <c r="B13" s="217" t="s">
        <v>28</v>
      </c>
      <c r="C13" s="218"/>
      <c r="D13" s="219">
        <v>39</v>
      </c>
      <c r="E13" s="170"/>
      <c r="F13" s="170"/>
      <c r="G13" s="195"/>
      <c r="H13" s="195"/>
      <c r="I13" s="220" t="s">
        <v>83</v>
      </c>
      <c r="J13" s="221"/>
      <c r="K13" s="221"/>
      <c r="L13" s="221"/>
      <c r="M13" s="207"/>
    </row>
    <row r="14" spans="1:13" ht="15" customHeight="1" x14ac:dyDescent="0.25">
      <c r="A14" s="7"/>
      <c r="B14" s="222" t="s">
        <v>39</v>
      </c>
      <c r="C14" s="223"/>
      <c r="D14" s="224">
        <v>11</v>
      </c>
      <c r="E14" s="170"/>
      <c r="F14" s="170"/>
      <c r="G14" s="195"/>
      <c r="H14" s="195"/>
      <c r="I14" s="225" t="s">
        <v>18</v>
      </c>
      <c r="J14" s="226">
        <f ca="1">80*J12</f>
        <v>8560</v>
      </c>
      <c r="K14" s="227">
        <f ca="1">80*K12</f>
        <v>8320</v>
      </c>
      <c r="L14" s="227">
        <f ca="1">80*L12</f>
        <v>10320</v>
      </c>
      <c r="M14" s="228">
        <f ca="1">80*M12</f>
        <v>7680</v>
      </c>
    </row>
    <row r="15" spans="1:13" ht="15.75" thickBot="1" x14ac:dyDescent="0.3">
      <c r="A15" s="7"/>
      <c r="B15" s="229"/>
      <c r="C15" s="230"/>
      <c r="D15" s="231"/>
      <c r="E15" s="175"/>
      <c r="F15" s="175"/>
      <c r="G15" s="210"/>
      <c r="H15" s="175"/>
      <c r="I15" s="232" t="s">
        <v>19</v>
      </c>
      <c r="J15" s="233">
        <f ca="1">J12*160</f>
        <v>17120</v>
      </c>
      <c r="K15" s="234">
        <f ca="1">K12*160</f>
        <v>16640</v>
      </c>
      <c r="L15" s="234">
        <f ca="1">L12*160</f>
        <v>20640</v>
      </c>
      <c r="M15" s="235">
        <f ca="1">M12*160</f>
        <v>15360</v>
      </c>
    </row>
    <row r="16" spans="1:13" x14ac:dyDescent="0.25">
      <c r="D16" s="4"/>
      <c r="E16" s="4"/>
      <c r="F16" s="4"/>
      <c r="G16" s="4"/>
    </row>
    <row r="17" spans="2:15" x14ac:dyDescent="0.25">
      <c r="B17" s="72" t="s">
        <v>98</v>
      </c>
      <c r="C17" s="70" t="s">
        <v>47</v>
      </c>
      <c r="D17" s="70"/>
      <c r="E17" s="70"/>
      <c r="F17" s="70"/>
      <c r="G17" s="70"/>
      <c r="H17" s="70"/>
      <c r="I17" s="70"/>
      <c r="J17" s="70"/>
      <c r="K17" s="70"/>
      <c r="L17" s="71"/>
    </row>
    <row r="18" spans="2:15" ht="19.5" customHeight="1" thickBot="1" x14ac:dyDescent="0.3">
      <c r="B18" s="73"/>
      <c r="C18" s="66" t="s">
        <v>36</v>
      </c>
      <c r="D18" s="57"/>
      <c r="E18" s="57"/>
      <c r="F18" s="57"/>
      <c r="G18" s="58"/>
      <c r="H18" s="49" t="s">
        <v>78</v>
      </c>
      <c r="I18" s="79" t="s">
        <v>38</v>
      </c>
      <c r="J18" s="79"/>
      <c r="K18" s="80" t="s">
        <v>48</v>
      </c>
      <c r="L18" s="67" t="s">
        <v>51</v>
      </c>
    </row>
    <row r="19" spans="2:15" ht="15.75" thickBot="1" x14ac:dyDescent="0.3">
      <c r="B19" s="74"/>
      <c r="C19" s="29" t="s">
        <v>32</v>
      </c>
      <c r="D19" s="24" t="s">
        <v>33</v>
      </c>
      <c r="E19" s="24" t="s">
        <v>34</v>
      </c>
      <c r="F19" s="25" t="s">
        <v>35</v>
      </c>
      <c r="G19" s="30" t="s">
        <v>6</v>
      </c>
      <c r="H19" s="50"/>
      <c r="I19" s="24" t="s">
        <v>50</v>
      </c>
      <c r="J19" s="24" t="s">
        <v>49</v>
      </c>
      <c r="K19" s="24"/>
      <c r="L19" s="78"/>
    </row>
    <row r="20" spans="2:15" x14ac:dyDescent="0.25">
      <c r="B20" s="24" t="s">
        <v>0</v>
      </c>
      <c r="C20" s="24">
        <f ca="1">ROUND(RAND()*4+1,0)</f>
        <v>4</v>
      </c>
      <c r="D20" s="24">
        <f ca="1">ROUND(RAND()*4+6,0)</f>
        <v>8</v>
      </c>
      <c r="E20" s="24">
        <f ca="1">ROUND(RAND()*4+11,0)</f>
        <v>13</v>
      </c>
      <c r="F20" s="25">
        <f ca="1">ROUND(RAND()*4+16,0)</f>
        <v>16</v>
      </c>
      <c r="G20" s="31">
        <f ca="1">IF(RAND()&lt;0.5,IF(RAND()&lt;0.5,C20,D20),(IF(RAND()&lt;0.5,E20,F20)))</f>
        <v>8</v>
      </c>
      <c r="H20" s="29">
        <f ca="1">LOOKUP(G20,'04 MC Kumulace nájmu'!A5:A24,'04 MC Kumulace nájmu'!B5:B24)*(1+D12)</f>
        <v>643750</v>
      </c>
      <c r="I20" s="24">
        <f ca="1">G20*$D$14</f>
        <v>88</v>
      </c>
      <c r="J20" s="24">
        <f ca="1">INT(RANDBETWEEN(INT(I20/6),INT(I20/4)))</f>
        <v>16</v>
      </c>
      <c r="K20" s="25">
        <f ca="1">(J20*J$14)+((I20-J20)*J$15)</f>
        <v>1369600</v>
      </c>
      <c r="L20" s="26">
        <f ca="1">K20+H20</f>
        <v>2013350</v>
      </c>
    </row>
    <row r="21" spans="2:15" x14ac:dyDescent="0.25">
      <c r="B21" s="24" t="s">
        <v>1</v>
      </c>
      <c r="C21" s="24">
        <f ca="1">ROUND(RAND()*4+1,0)</f>
        <v>1</v>
      </c>
      <c r="D21" s="24">
        <f ca="1">ROUND(RAND()*4+6,0)</f>
        <v>7</v>
      </c>
      <c r="E21" s="24">
        <f ca="1">ROUND(RAND()*4+11,0)</f>
        <v>14</v>
      </c>
      <c r="F21" s="25">
        <f ca="1">ROUND(RAND()*4+16,0)</f>
        <v>17</v>
      </c>
      <c r="G21" s="31">
        <f t="shared" ref="G21:G23" ca="1" si="0">IF(RAND()&lt;0.5,IF(RAND()&lt;0.5,C21,D21),(IF(RAND()&lt;0.5,E21,F21)))</f>
        <v>1</v>
      </c>
      <c r="H21" s="29">
        <f ca="1">LOOKUP(G21,'04 MC Kumulace nájmu'!A5:A24,'04 MC Kumulace nájmu'!D5:D24)*(1+D12)</f>
        <v>33750</v>
      </c>
      <c r="I21" s="24">
        <f ca="1">G21*$D$14</f>
        <v>11</v>
      </c>
      <c r="J21" s="24">
        <f ca="1">INT(RANDBETWEEN(INT(I21/6),INT(I21/4)))</f>
        <v>2</v>
      </c>
      <c r="K21" s="25">
        <f ca="1">(J21*J$14)+((I21-J21)*J$15)</f>
        <v>171200</v>
      </c>
      <c r="L21" s="27">
        <f ca="1">K21+H21</f>
        <v>204950</v>
      </c>
    </row>
    <row r="22" spans="2:15" x14ac:dyDescent="0.25">
      <c r="B22" s="24" t="s">
        <v>5</v>
      </c>
      <c r="C22" s="24">
        <f ca="1">ROUND(RAND()*4+1,0)</f>
        <v>2</v>
      </c>
      <c r="D22" s="24">
        <f ca="1">ROUND(RAND()*4+6,0)</f>
        <v>6</v>
      </c>
      <c r="E22" s="24">
        <f ca="1">ROUND(RAND()*4+11,0)</f>
        <v>12</v>
      </c>
      <c r="F22" s="25">
        <f ca="1">ROUND(RAND()*4+16,0)</f>
        <v>16</v>
      </c>
      <c r="G22" s="31">
        <f t="shared" ca="1" si="0"/>
        <v>2</v>
      </c>
      <c r="H22" s="29">
        <f ca="1">LOOKUP(G22,'04 MC Kumulace nájmu'!A5:A24,'04 MC Kumulace nájmu'!F5:F24)*(1+D12)</f>
        <v>25000</v>
      </c>
      <c r="I22" s="24">
        <f ca="1">G22*$D$14</f>
        <v>22</v>
      </c>
      <c r="J22" s="24">
        <f ca="1">INT(RANDBETWEEN(INT(I22/6),INT(I22/4)))</f>
        <v>3</v>
      </c>
      <c r="K22" s="25">
        <f ca="1">(J22*J$14)+((I22-J22)*J$15)</f>
        <v>350960</v>
      </c>
      <c r="L22" s="27">
        <f ca="1">K22+H22</f>
        <v>375960</v>
      </c>
    </row>
    <row r="23" spans="2:15" ht="15.75" thickBot="1" x14ac:dyDescent="0.3">
      <c r="B23" s="24" t="s">
        <v>3</v>
      </c>
      <c r="C23" s="24">
        <f ca="1">ROUND(RAND()*4+1,0)</f>
        <v>4</v>
      </c>
      <c r="D23" s="24">
        <f ca="1">ROUND(RAND()*4+6,0)</f>
        <v>9</v>
      </c>
      <c r="E23" s="24">
        <f ca="1">ROUND(RAND()*4+11,0)</f>
        <v>14</v>
      </c>
      <c r="F23" s="25">
        <f ca="1">ROUND(RAND()*4+16,0)</f>
        <v>17</v>
      </c>
      <c r="G23" s="31">
        <f t="shared" ca="1" si="0"/>
        <v>9</v>
      </c>
      <c r="H23" s="29">
        <f ca="1">LOOKUP(G23,'04 MC Kumulace nájmu'!A5:A24,'04 MC Kumulace nájmu'!H5:H24)*(1+D12)</f>
        <v>361250</v>
      </c>
      <c r="I23" s="24">
        <f ca="1">G23*$D$14</f>
        <v>99</v>
      </c>
      <c r="J23" s="24">
        <f ca="1">INT(RANDBETWEEN(INT(I23/6),INT(I23/4)))</f>
        <v>22</v>
      </c>
      <c r="K23" s="25">
        <f ca="1">(J23*J$14)+((I23-J23)*J$15)</f>
        <v>1506560</v>
      </c>
      <c r="L23" s="28">
        <f ca="1">K23+H23</f>
        <v>1867810</v>
      </c>
    </row>
    <row r="24" spans="2:15" x14ac:dyDescent="0.25">
      <c r="B24" s="15"/>
      <c r="C24" s="16"/>
      <c r="D24" s="16"/>
      <c r="E24" s="16"/>
      <c r="F24" s="16"/>
      <c r="G24" s="16"/>
      <c r="H24" s="16"/>
      <c r="I24" s="16"/>
      <c r="J24" s="16"/>
      <c r="K24" s="16"/>
      <c r="L24" s="17"/>
    </row>
    <row r="25" spans="2:15" s="5" customFormat="1" x14ac:dyDescent="0.25"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</row>
    <row r="26" spans="2:15" x14ac:dyDescent="0.25">
      <c r="B26" s="75" t="s">
        <v>98</v>
      </c>
      <c r="C26" s="46" t="s">
        <v>82</v>
      </c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8"/>
    </row>
    <row r="27" spans="2:15" ht="30" customHeight="1" x14ac:dyDescent="0.25">
      <c r="B27" s="76"/>
      <c r="C27" s="68" t="s">
        <v>37</v>
      </c>
      <c r="D27" s="110" t="s">
        <v>53</v>
      </c>
      <c r="E27" s="111"/>
      <c r="F27" s="82" t="s">
        <v>64</v>
      </c>
      <c r="G27" s="112" t="s">
        <v>54</v>
      </c>
      <c r="H27" s="113"/>
      <c r="I27" s="51" t="s">
        <v>64</v>
      </c>
      <c r="J27" s="114" t="s">
        <v>55</v>
      </c>
      <c r="K27" s="115"/>
      <c r="L27" s="53" t="s">
        <v>64</v>
      </c>
      <c r="M27" s="116" t="s">
        <v>56</v>
      </c>
      <c r="N27" s="117"/>
      <c r="O27" s="55" t="s">
        <v>64</v>
      </c>
    </row>
    <row r="28" spans="2:15" x14ac:dyDescent="0.25">
      <c r="B28" s="77"/>
      <c r="C28" s="69"/>
      <c r="D28" s="83" t="s">
        <v>61</v>
      </c>
      <c r="E28" s="84" t="s">
        <v>65</v>
      </c>
      <c r="F28" s="85"/>
      <c r="G28" s="86" t="s">
        <v>61</v>
      </c>
      <c r="H28" s="87" t="s">
        <v>65</v>
      </c>
      <c r="I28" s="52"/>
      <c r="J28" s="88" t="s">
        <v>61</v>
      </c>
      <c r="K28" s="89" t="s">
        <v>65</v>
      </c>
      <c r="L28" s="54"/>
      <c r="M28" s="81" t="s">
        <v>61</v>
      </c>
      <c r="N28" s="90" t="s">
        <v>65</v>
      </c>
      <c r="O28" s="56"/>
    </row>
    <row r="29" spans="2:15" x14ac:dyDescent="0.25">
      <c r="B29" s="32" t="s">
        <v>0</v>
      </c>
      <c r="C29" s="91">
        <f ca="1">G20*$D$13</f>
        <v>312</v>
      </c>
      <c r="D29" s="92">
        <f ca="1">INT('01 Souhrn'!$E5*'00 Základní Info'!C$17)</f>
        <v>4621</v>
      </c>
      <c r="E29" s="93">
        <f ca="1">INT(D29/30)</f>
        <v>154</v>
      </c>
      <c r="F29" s="94">
        <f ca="1">((E29*'00 Základní Info'!$C$14)/C29)</f>
        <v>0.19743589743589743</v>
      </c>
      <c r="G29" s="95">
        <f ca="1">INT('01 Souhrn'!$E5*'00 Základní Info'!D$17)</f>
        <v>20334</v>
      </c>
      <c r="H29" s="96">
        <f ca="1">INT(G29/30)</f>
        <v>677</v>
      </c>
      <c r="I29" s="97">
        <f ca="1">((H29*'00 Základní Info'!$C$14)/$C$29)</f>
        <v>0.86794871794871797</v>
      </c>
      <c r="J29" s="98">
        <f ca="1">INT('01 Souhrn'!$E5*'00 Základní Info'!E$17)</f>
        <v>37895</v>
      </c>
      <c r="K29" s="99">
        <f ca="1">INT(J29/30)</f>
        <v>1263</v>
      </c>
      <c r="L29" s="100">
        <f ca="1">((K29*'00 Základní Info'!$C$14)/$C29)</f>
        <v>1.6192307692307695</v>
      </c>
      <c r="M29" s="101">
        <f ca="1">INT('01 Souhrn'!$E5*'00 Základní Info'!F$17)</f>
        <v>29577</v>
      </c>
      <c r="N29" s="102">
        <f ca="1">INT(M29/30)</f>
        <v>985</v>
      </c>
      <c r="O29" s="103">
        <f ca="1">((N29*'00 Základní Info'!$C$14)/$C29)</f>
        <v>1.2628205128205128</v>
      </c>
    </row>
    <row r="30" spans="2:15" x14ac:dyDescent="0.25">
      <c r="B30" s="32" t="s">
        <v>1</v>
      </c>
      <c r="C30" s="91">
        <f ca="1">G21*$D$13</f>
        <v>39</v>
      </c>
      <c r="D30" s="92">
        <f ca="1">INT('01 Souhrn'!$F5*'00 Základní Info'!C$17)</f>
        <v>1065</v>
      </c>
      <c r="E30" s="93">
        <f ca="1">INT(D30/30)</f>
        <v>35</v>
      </c>
      <c r="F30" s="94">
        <f ca="1">((E30*'00 Základní Info'!$C$14)/C30)</f>
        <v>0.35897435897435898</v>
      </c>
      <c r="G30" s="95">
        <f ca="1">INT('01 Souhrn'!$F5*'00 Základní Info'!D$17)</f>
        <v>4689</v>
      </c>
      <c r="H30" s="96">
        <f ca="1">INT(G30/30)</f>
        <v>156</v>
      </c>
      <c r="I30" s="97">
        <f ca="1">((H30*'00 Základní Info'!$C$14)/C30)</f>
        <v>1.6</v>
      </c>
      <c r="J30" s="98">
        <f ca="1">INT('01 Souhrn'!$F5*'00 Základní Info'!E$17)</f>
        <v>8739</v>
      </c>
      <c r="K30" s="99">
        <f ca="1">INT(J30/30)</f>
        <v>291</v>
      </c>
      <c r="L30" s="100">
        <f ca="1">((K30*'00 Základní Info'!$C$14)/$C30)</f>
        <v>2.9846153846153847</v>
      </c>
      <c r="M30" s="101">
        <f ca="1">INT('01 Souhrn'!$F5*'00 Základní Info'!F$17)</f>
        <v>6821</v>
      </c>
      <c r="N30" s="102">
        <f t="shared" ref="N30:N32" ca="1" si="1">INT(M30/30)</f>
        <v>227</v>
      </c>
      <c r="O30" s="103">
        <f ca="1">((N30*'00 Základní Info'!$C$14)/$C30)</f>
        <v>2.3282051282051284</v>
      </c>
    </row>
    <row r="31" spans="2:15" x14ac:dyDescent="0.25">
      <c r="B31" s="32" t="s">
        <v>5</v>
      </c>
      <c r="C31" s="91">
        <f ca="1">G22*$D$13</f>
        <v>78</v>
      </c>
      <c r="D31" s="92">
        <f ca="1">INT('01 Souhrn'!$G5*'00 Základní Info'!C$17)</f>
        <v>481</v>
      </c>
      <c r="E31" s="93">
        <f ca="1">INT(D31/30)</f>
        <v>16</v>
      </c>
      <c r="F31" s="94">
        <f ca="1">((E31*'00 Základní Info'!$C$14)/C31)</f>
        <v>8.2051282051282051E-2</v>
      </c>
      <c r="G31" s="95">
        <f ca="1">INT('01 Souhrn'!$G5*'00 Základní Info'!D$17)</f>
        <v>2117</v>
      </c>
      <c r="H31" s="96">
        <f ca="1">INT(G31/30)</f>
        <v>70</v>
      </c>
      <c r="I31" s="97">
        <f ca="1">((H31*'00 Základní Info'!$C$14)/C31)</f>
        <v>0.35897435897435898</v>
      </c>
      <c r="J31" s="98">
        <f ca="1">INT('01 Souhrn'!$G5*'00 Základní Info'!E$17)</f>
        <v>3945</v>
      </c>
      <c r="K31" s="99">
        <f ca="1">INT(J31/30)</f>
        <v>131</v>
      </c>
      <c r="L31" s="100">
        <f ca="1">((K31*'00 Základní Info'!$C$14)/$C31)</f>
        <v>0.67179487179487185</v>
      </c>
      <c r="M31" s="101">
        <f ca="1">INT('01 Souhrn'!$G5*'00 Základní Info'!F$17)</f>
        <v>3079</v>
      </c>
      <c r="N31" s="102">
        <f t="shared" ca="1" si="1"/>
        <v>102</v>
      </c>
      <c r="O31" s="103">
        <f ca="1">((N31*'00 Základní Info'!$C$14)/$C31)</f>
        <v>0.52307692307692311</v>
      </c>
    </row>
    <row r="32" spans="2:15" x14ac:dyDescent="0.25">
      <c r="B32" s="33" t="s">
        <v>3</v>
      </c>
      <c r="C32" s="104">
        <f ca="1">G23*$D$13</f>
        <v>351</v>
      </c>
      <c r="D32" s="83">
        <f ca="1">INT('01 Souhrn'!$H5*'00 Základní Info'!C$17)</f>
        <v>815</v>
      </c>
      <c r="E32" s="84">
        <f ca="1">INT(D32/30)</f>
        <v>27</v>
      </c>
      <c r="F32" s="105">
        <f ca="1">((E32*'00 Základní Info'!$C$14)/C32)</f>
        <v>3.0769230769230771E-2</v>
      </c>
      <c r="G32" s="86">
        <f ca="1">INT('01 Souhrn'!$H5*'00 Základní Info'!D$17)</f>
        <v>3586</v>
      </c>
      <c r="H32" s="87">
        <f ca="1">INT(G32/30)</f>
        <v>119</v>
      </c>
      <c r="I32" s="106">
        <f ca="1">((H32*'00 Základní Info'!$C$14)/C32)</f>
        <v>0.13561253561253561</v>
      </c>
      <c r="J32" s="88">
        <f ca="1">INT('01 Souhrn'!$H5*'00 Základní Info'!E$17)</f>
        <v>6684</v>
      </c>
      <c r="K32" s="89">
        <f ca="1">INT(J32/30)</f>
        <v>222</v>
      </c>
      <c r="L32" s="107">
        <f ca="1">((K32*'00 Základní Info'!$C$14)/$C32)</f>
        <v>0.25299145299145304</v>
      </c>
      <c r="M32" s="108">
        <f ca="1">INT('01 Souhrn'!$H5*'00 Základní Info'!F$17)</f>
        <v>5216</v>
      </c>
      <c r="N32" s="90">
        <f t="shared" ca="1" si="1"/>
        <v>173</v>
      </c>
      <c r="O32" s="109">
        <f ca="1">((N32*'00 Základní Info'!$C$14)/$C32)</f>
        <v>0.19715099715099715</v>
      </c>
    </row>
    <row r="36" spans="10:12" x14ac:dyDescent="0.25">
      <c r="J36"/>
      <c r="K36"/>
      <c r="L36"/>
    </row>
    <row r="37" spans="10:12" x14ac:dyDescent="0.25">
      <c r="J37" s="8"/>
      <c r="K37"/>
      <c r="L37"/>
    </row>
    <row r="38" spans="10:12" x14ac:dyDescent="0.25">
      <c r="J38" s="8"/>
      <c r="K38"/>
      <c r="L38"/>
    </row>
    <row r="39" spans="10:12" x14ac:dyDescent="0.25">
      <c r="J39" s="8"/>
      <c r="K39"/>
      <c r="L39"/>
    </row>
    <row r="40" spans="10:12" x14ac:dyDescent="0.25">
      <c r="J40" s="8"/>
      <c r="K40"/>
      <c r="L40"/>
    </row>
    <row r="41" spans="10:12" x14ac:dyDescent="0.25">
      <c r="J41"/>
      <c r="K41"/>
      <c r="L41"/>
    </row>
    <row r="42" spans="10:12" x14ac:dyDescent="0.25">
      <c r="J42"/>
      <c r="K42"/>
      <c r="L42"/>
    </row>
    <row r="43" spans="10:12" x14ac:dyDescent="0.25">
      <c r="J43"/>
      <c r="K43"/>
      <c r="L43"/>
    </row>
    <row r="44" spans="10:12" x14ac:dyDescent="0.25">
      <c r="J44"/>
      <c r="K44"/>
      <c r="L44"/>
    </row>
    <row r="45" spans="10:12" x14ac:dyDescent="0.25">
      <c r="J45"/>
      <c r="K45"/>
      <c r="L45"/>
    </row>
    <row r="46" spans="10:12" x14ac:dyDescent="0.25">
      <c r="J46"/>
      <c r="K46"/>
      <c r="L46"/>
    </row>
    <row r="51" spans="15:17" x14ac:dyDescent="0.25">
      <c r="O51"/>
      <c r="P51"/>
      <c r="Q51"/>
    </row>
    <row r="52" spans="15:17" x14ac:dyDescent="0.25">
      <c r="O52" s="14"/>
      <c r="P52"/>
      <c r="Q52"/>
    </row>
    <row r="53" spans="15:17" x14ac:dyDescent="0.25">
      <c r="O53" s="14"/>
      <c r="P53"/>
      <c r="Q53"/>
    </row>
    <row r="54" spans="15:17" x14ac:dyDescent="0.25">
      <c r="O54" s="14"/>
      <c r="P54"/>
      <c r="Q54"/>
    </row>
    <row r="55" spans="15:17" x14ac:dyDescent="0.25">
      <c r="O55" s="14"/>
      <c r="P55"/>
      <c r="Q55"/>
    </row>
    <row r="56" spans="15:17" x14ac:dyDescent="0.25">
      <c r="O56" s="14"/>
      <c r="P56"/>
      <c r="Q56"/>
    </row>
    <row r="57" spans="15:17" x14ac:dyDescent="0.25">
      <c r="O57" s="14"/>
      <c r="P57"/>
      <c r="Q57"/>
    </row>
    <row r="58" spans="15:17" x14ac:dyDescent="0.25">
      <c r="O58" s="14"/>
      <c r="P58"/>
      <c r="Q58"/>
    </row>
    <row r="59" spans="15:17" x14ac:dyDescent="0.25">
      <c r="O59" s="14"/>
      <c r="P59"/>
      <c r="Q59"/>
    </row>
    <row r="60" spans="15:17" x14ac:dyDescent="0.25">
      <c r="O60" s="14"/>
      <c r="P60"/>
      <c r="Q60"/>
    </row>
    <row r="61" spans="15:17" x14ac:dyDescent="0.25">
      <c r="O61" s="14"/>
      <c r="P61"/>
      <c r="Q61"/>
    </row>
    <row r="62" spans="15:17" x14ac:dyDescent="0.25">
      <c r="O62" s="14"/>
      <c r="P62"/>
      <c r="Q62"/>
    </row>
    <row r="63" spans="15:17" x14ac:dyDescent="0.25">
      <c r="O63" s="14"/>
      <c r="P63"/>
      <c r="Q63"/>
    </row>
    <row r="64" spans="15:17" x14ac:dyDescent="0.25">
      <c r="O64" s="14"/>
      <c r="P64"/>
      <c r="Q64"/>
    </row>
    <row r="65" spans="3:17" x14ac:dyDescent="0.25">
      <c r="O65" s="14"/>
      <c r="P65"/>
      <c r="Q65"/>
    </row>
    <row r="66" spans="3:17" x14ac:dyDescent="0.25">
      <c r="O66" s="14"/>
      <c r="P66"/>
      <c r="Q66"/>
    </row>
    <row r="67" spans="3:17" x14ac:dyDescent="0.25">
      <c r="O67" s="14"/>
      <c r="P67"/>
      <c r="Q67"/>
    </row>
    <row r="68" spans="3:17" x14ac:dyDescent="0.25">
      <c r="O68" s="14"/>
      <c r="P68"/>
      <c r="Q68"/>
    </row>
    <row r="69" spans="3:17" x14ac:dyDescent="0.25">
      <c r="O69" s="14"/>
    </row>
    <row r="70" spans="3:17" x14ac:dyDescent="0.25">
      <c r="C70" s="5"/>
      <c r="D70" s="5"/>
      <c r="E70" s="5"/>
      <c r="F70" s="5"/>
      <c r="G70" s="5"/>
      <c r="H70" s="5"/>
      <c r="I70" s="5"/>
      <c r="J70" s="5"/>
      <c r="K70" s="5"/>
      <c r="L70" s="5"/>
      <c r="O70" s="14"/>
    </row>
    <row r="71" spans="3:17" x14ac:dyDescent="0.25">
      <c r="C71" s="5"/>
      <c r="D71" s="5"/>
      <c r="E71" s="5"/>
      <c r="F71" s="5"/>
      <c r="G71" s="5"/>
      <c r="H71" s="5"/>
      <c r="I71" s="5"/>
      <c r="J71" s="5"/>
      <c r="K71" s="5"/>
      <c r="L71" s="5"/>
      <c r="O71" s="14"/>
    </row>
    <row r="72" spans="3:17" x14ac:dyDescent="0.25">
      <c r="C72" s="5"/>
      <c r="D72" s="5"/>
      <c r="E72" s="5"/>
      <c r="F72" s="5"/>
      <c r="G72" s="5"/>
      <c r="H72" s="5"/>
      <c r="I72" s="5"/>
      <c r="J72" s="5"/>
      <c r="K72" s="5"/>
      <c r="L72" s="5"/>
      <c r="O72" s="14"/>
    </row>
    <row r="73" spans="3:17" x14ac:dyDescent="0.25">
      <c r="C73" s="5"/>
      <c r="D73" s="5"/>
      <c r="E73" s="5"/>
      <c r="F73" s="5"/>
      <c r="G73" s="5"/>
      <c r="H73" s="5"/>
      <c r="I73" s="5"/>
      <c r="J73" s="5"/>
      <c r="K73" s="5"/>
      <c r="L73" s="5"/>
      <c r="O73" s="14"/>
    </row>
    <row r="74" spans="3:17" x14ac:dyDescent="0.25">
      <c r="C74" s="5"/>
      <c r="D74" s="5"/>
      <c r="E74" s="5"/>
      <c r="F74" s="5"/>
      <c r="G74" s="5"/>
      <c r="H74" s="5"/>
      <c r="I74" s="5"/>
      <c r="J74" s="5"/>
      <c r="K74" s="5"/>
      <c r="L74" s="5"/>
    </row>
    <row r="75" spans="3:17" x14ac:dyDescent="0.25">
      <c r="C75" s="5"/>
      <c r="D75" s="5"/>
      <c r="E75" s="5"/>
      <c r="F75" s="5"/>
      <c r="G75" s="5"/>
      <c r="H75" s="5"/>
      <c r="I75" s="5"/>
      <c r="J75" s="5"/>
      <c r="K75" s="5"/>
      <c r="L75" s="5"/>
    </row>
    <row r="76" spans="3:17" x14ac:dyDescent="0.25">
      <c r="C76" s="5"/>
      <c r="D76" s="5"/>
      <c r="E76" s="5"/>
      <c r="F76" s="5"/>
      <c r="G76" s="5"/>
      <c r="H76" s="5"/>
      <c r="I76" s="5"/>
      <c r="J76" s="5"/>
      <c r="K76" s="5"/>
      <c r="L76" s="5"/>
    </row>
    <row r="77" spans="3:17" x14ac:dyDescent="0.25">
      <c r="C77" s="5"/>
      <c r="D77" s="5"/>
      <c r="E77" s="5"/>
      <c r="F77" s="5"/>
      <c r="G77" s="5"/>
      <c r="H77" s="5"/>
      <c r="I77" s="5"/>
      <c r="J77" s="5"/>
      <c r="K77" s="5"/>
      <c r="L77" s="5"/>
    </row>
  </sheetData>
  <mergeCells count="29">
    <mergeCell ref="C26:O26"/>
    <mergeCell ref="L18:L19"/>
    <mergeCell ref="M27:N27"/>
    <mergeCell ref="B14:C15"/>
    <mergeCell ref="C5:H5"/>
    <mergeCell ref="C6:D6"/>
    <mergeCell ref="B13:C13"/>
    <mergeCell ref="D14:D15"/>
    <mergeCell ref="I13:L13"/>
    <mergeCell ref="G6:G7"/>
    <mergeCell ref="E6:E7"/>
    <mergeCell ref="I5:I6"/>
    <mergeCell ref="J5:M5"/>
    <mergeCell ref="B5:B6"/>
    <mergeCell ref="D27:E27"/>
    <mergeCell ref="J27:K27"/>
    <mergeCell ref="B12:C12"/>
    <mergeCell ref="H18:H19"/>
    <mergeCell ref="C27:C28"/>
    <mergeCell ref="F27:F28"/>
    <mergeCell ref="I27:I28"/>
    <mergeCell ref="L27:L28"/>
    <mergeCell ref="O27:O28"/>
    <mergeCell ref="G27:H27"/>
    <mergeCell ref="C18:G18"/>
    <mergeCell ref="I18:J18"/>
    <mergeCell ref="C17:L17"/>
    <mergeCell ref="B17:B19"/>
    <mergeCell ref="B26:B28"/>
  </mergeCells>
  <conditionalFormatting sqref="E8:E11">
    <cfRule type="expression" dxfId="30" priority="10">
      <formula>$D8=$E8</formula>
    </cfRule>
    <cfRule type="expression" dxfId="29" priority="11">
      <formula>$E8=$C8</formula>
    </cfRule>
  </conditionalFormatting>
  <conditionalFormatting sqref="G8:G11">
    <cfRule type="expression" dxfId="28" priority="12">
      <formula>$G8=$F8</formula>
    </cfRule>
    <cfRule type="expression" dxfId="27" priority="13">
      <formula>$G8=$D8</formula>
    </cfRule>
    <cfRule type="expression" dxfId="26" priority="14">
      <formula>$G8=$C8</formula>
    </cfRule>
  </conditionalFormatting>
  <conditionalFormatting sqref="F29:F32 I29:I32 L29:L32 O29:O32">
    <cfRule type="cellIs" dxfId="25" priority="1" operator="greaterThanOrEqual">
      <formula>1.01</formula>
    </cfRule>
    <cfRule type="cellIs" dxfId="24" priority="2" operator="lessThanOrEqual">
      <formula>1</formula>
    </cfRule>
  </conditionalFormatting>
  <pageMargins left="0.7" right="0.7" top="0.75" bottom="0.75" header="0.3" footer="0.3"/>
  <pageSetup paperSize="9" scale="50" fitToWidth="0" fitToHeight="0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tabSelected="1" workbookViewId="0">
      <selection activeCell="A5" sqref="A5"/>
    </sheetView>
  </sheetViews>
  <sheetFormatPr defaultRowHeight="15" x14ac:dyDescent="0.25"/>
  <cols>
    <col min="1" max="1" width="12.85546875" customWidth="1"/>
    <col min="2" max="6" width="20" customWidth="1"/>
    <col min="7" max="7" width="16.85546875" customWidth="1"/>
    <col min="8" max="8" width="22" customWidth="1"/>
    <col min="9" max="9" width="14.5703125" customWidth="1"/>
  </cols>
  <sheetData>
    <row r="1" spans="1:14" x14ac:dyDescent="0.25">
      <c r="K1" s="59" t="s">
        <v>44</v>
      </c>
      <c r="L1" s="59"/>
      <c r="M1">
        <f ca="1">RAND()</f>
        <v>0.11468268432257978</v>
      </c>
      <c r="N1">
        <v>1</v>
      </c>
    </row>
    <row r="2" spans="1:14" x14ac:dyDescent="0.25">
      <c r="A2" s="59" t="s">
        <v>69</v>
      </c>
      <c r="B2" s="59"/>
    </row>
    <row r="3" spans="1:14" x14ac:dyDescent="0.25">
      <c r="A3" s="45" t="s">
        <v>36</v>
      </c>
      <c r="B3" t="s">
        <v>46</v>
      </c>
      <c r="C3" t="s">
        <v>14</v>
      </c>
      <c r="D3" t="s">
        <v>46</v>
      </c>
      <c r="E3" t="s">
        <v>13</v>
      </c>
      <c r="F3" t="s">
        <v>46</v>
      </c>
      <c r="G3" t="s">
        <v>12</v>
      </c>
      <c r="H3" t="s">
        <v>46</v>
      </c>
      <c r="I3" t="s">
        <v>11</v>
      </c>
    </row>
    <row r="4" spans="1:14" x14ac:dyDescent="0.25">
      <c r="A4" s="45"/>
      <c r="B4">
        <f ca="1">'03 Logika'!G8</f>
        <v>326000</v>
      </c>
      <c r="C4" t="s">
        <v>40</v>
      </c>
      <c r="D4">
        <f ca="1">'03 Logika'!G9</f>
        <v>40000</v>
      </c>
      <c r="E4" t="s">
        <v>41</v>
      </c>
      <c r="F4">
        <f ca="1">'03 Logika'!G10</f>
        <v>54000</v>
      </c>
      <c r="G4" t="s">
        <v>42</v>
      </c>
      <c r="H4">
        <f ca="1">'03 Logika'!G11</f>
        <v>68000</v>
      </c>
      <c r="I4" t="s">
        <v>43</v>
      </c>
    </row>
    <row r="5" spans="1:14" x14ac:dyDescent="0.25">
      <c r="A5">
        <v>1</v>
      </c>
      <c r="B5">
        <f>C5</f>
        <v>15000</v>
      </c>
      <c r="C5">
        <f t="dataTable" ref="C5:C24" dt2D="1" dtr="1" r1="M1" r2="M2" ca="1"/>
        <v>15000</v>
      </c>
      <c r="D5">
        <f>E5</f>
        <v>27000</v>
      </c>
      <c r="E5">
        <f t="dataTable" ref="E5:E24" dt2D="1" dtr="1" r1="M1" r2="M3" ca="1"/>
        <v>27000</v>
      </c>
      <c r="F5">
        <f>G5</f>
        <v>12000</v>
      </c>
      <c r="G5">
        <f t="dataTable" ref="G5:G24" dt2D="1" dtr="1" r1="M1" r2="M7" ca="1"/>
        <v>12000</v>
      </c>
      <c r="H5">
        <f>I5</f>
        <v>22000</v>
      </c>
      <c r="I5">
        <f t="dataTable" ref="I5:I24" dt2D="1" dtr="1" r1="M1" r2="M14" ca="1"/>
        <v>22000</v>
      </c>
    </row>
    <row r="6" spans="1:14" x14ac:dyDescent="0.25">
      <c r="A6">
        <v>2</v>
      </c>
      <c r="B6">
        <f>SUM(B5,C6)</f>
        <v>123000</v>
      </c>
      <c r="C6">
        <v>108000</v>
      </c>
      <c r="D6">
        <f>SUM(D5,E6)</f>
        <v>60000</v>
      </c>
      <c r="E6">
        <v>33000</v>
      </c>
      <c r="F6">
        <f>SUM(F5,G6)</f>
        <v>20000</v>
      </c>
      <c r="G6">
        <v>8000</v>
      </c>
      <c r="H6">
        <f>SUM(H5,I6)</f>
        <v>78000</v>
      </c>
      <c r="I6">
        <v>56000</v>
      </c>
    </row>
    <row r="7" spans="1:14" x14ac:dyDescent="0.25">
      <c r="A7">
        <v>3</v>
      </c>
      <c r="B7">
        <f>SUM(B6,C7)</f>
        <v>143000</v>
      </c>
      <c r="C7">
        <v>20000</v>
      </c>
      <c r="D7">
        <f t="shared" ref="D7:D24" si="0">SUM(D6,E7)</f>
        <v>93000</v>
      </c>
      <c r="E7">
        <v>33000</v>
      </c>
      <c r="F7">
        <f t="shared" ref="F7:F24" si="1">SUM(F6,G7)</f>
        <v>80000</v>
      </c>
      <c r="G7">
        <v>60000</v>
      </c>
      <c r="H7">
        <f t="shared" ref="H7:H24" si="2">SUM(H6,I7)</f>
        <v>108000</v>
      </c>
      <c r="I7">
        <v>30000</v>
      </c>
    </row>
    <row r="8" spans="1:14" x14ac:dyDescent="0.25">
      <c r="A8">
        <v>4</v>
      </c>
      <c r="B8">
        <f t="shared" ref="B8:B24" si="3">SUM(B7,C8)</f>
        <v>156000</v>
      </c>
      <c r="C8">
        <v>13000</v>
      </c>
      <c r="D8">
        <f t="shared" si="0"/>
        <v>130000</v>
      </c>
      <c r="E8">
        <v>37000</v>
      </c>
      <c r="F8">
        <f t="shared" si="1"/>
        <v>114000</v>
      </c>
      <c r="G8">
        <v>34000</v>
      </c>
      <c r="H8">
        <f t="shared" si="2"/>
        <v>131000</v>
      </c>
      <c r="I8">
        <v>23000</v>
      </c>
    </row>
    <row r="9" spans="1:14" x14ac:dyDescent="0.25">
      <c r="A9">
        <v>5</v>
      </c>
      <c r="B9">
        <f t="shared" si="3"/>
        <v>256000</v>
      </c>
      <c r="C9">
        <v>100000</v>
      </c>
      <c r="D9">
        <f t="shared" si="0"/>
        <v>140000</v>
      </c>
      <c r="E9">
        <v>10000</v>
      </c>
      <c r="F9">
        <f t="shared" si="1"/>
        <v>142000</v>
      </c>
      <c r="G9">
        <v>28000</v>
      </c>
      <c r="H9">
        <f t="shared" si="2"/>
        <v>138000</v>
      </c>
      <c r="I9">
        <v>7000</v>
      </c>
    </row>
    <row r="10" spans="1:14" x14ac:dyDescent="0.25">
      <c r="A10">
        <v>6</v>
      </c>
      <c r="B10">
        <f t="shared" si="3"/>
        <v>326000</v>
      </c>
      <c r="C10">
        <v>70000</v>
      </c>
      <c r="D10">
        <f t="shared" si="0"/>
        <v>231000</v>
      </c>
      <c r="E10">
        <v>91000</v>
      </c>
      <c r="F10">
        <f t="shared" si="1"/>
        <v>173000</v>
      </c>
      <c r="G10">
        <v>31000</v>
      </c>
      <c r="H10">
        <f t="shared" si="2"/>
        <v>166000</v>
      </c>
      <c r="I10">
        <v>28000</v>
      </c>
    </row>
    <row r="11" spans="1:14" x14ac:dyDescent="0.25">
      <c r="A11">
        <v>7</v>
      </c>
      <c r="B11">
        <f t="shared" si="3"/>
        <v>416000</v>
      </c>
      <c r="C11">
        <v>90000</v>
      </c>
      <c r="D11">
        <f t="shared" si="0"/>
        <v>262000</v>
      </c>
      <c r="E11">
        <v>31000</v>
      </c>
      <c r="F11">
        <f t="shared" si="1"/>
        <v>214000</v>
      </c>
      <c r="G11">
        <v>41000</v>
      </c>
      <c r="H11">
        <f t="shared" si="2"/>
        <v>222000</v>
      </c>
      <c r="I11">
        <v>56000</v>
      </c>
    </row>
    <row r="12" spans="1:14" x14ac:dyDescent="0.25">
      <c r="A12">
        <v>8</v>
      </c>
      <c r="B12">
        <f t="shared" si="3"/>
        <v>515000</v>
      </c>
      <c r="C12">
        <v>99000</v>
      </c>
      <c r="D12">
        <f t="shared" si="0"/>
        <v>300000</v>
      </c>
      <c r="E12">
        <v>38000</v>
      </c>
      <c r="F12">
        <f t="shared" si="1"/>
        <v>241000</v>
      </c>
      <c r="G12">
        <v>27000</v>
      </c>
      <c r="H12">
        <f t="shared" si="2"/>
        <v>257000</v>
      </c>
      <c r="I12">
        <v>35000</v>
      </c>
    </row>
    <row r="13" spans="1:14" x14ac:dyDescent="0.25">
      <c r="A13">
        <v>9</v>
      </c>
      <c r="B13">
        <f t="shared" si="3"/>
        <v>597000</v>
      </c>
      <c r="C13">
        <v>82000</v>
      </c>
      <c r="D13">
        <f t="shared" si="0"/>
        <v>337000</v>
      </c>
      <c r="E13">
        <v>37000</v>
      </c>
      <c r="F13">
        <f t="shared" si="1"/>
        <v>282000</v>
      </c>
      <c r="G13">
        <v>41000</v>
      </c>
      <c r="H13">
        <f t="shared" si="2"/>
        <v>289000</v>
      </c>
      <c r="I13">
        <v>32000</v>
      </c>
    </row>
    <row r="14" spans="1:14" x14ac:dyDescent="0.25">
      <c r="A14">
        <v>10</v>
      </c>
      <c r="B14">
        <f t="shared" si="3"/>
        <v>626000</v>
      </c>
      <c r="C14">
        <v>29000</v>
      </c>
      <c r="D14">
        <f t="shared" si="0"/>
        <v>362000</v>
      </c>
      <c r="E14">
        <v>25000</v>
      </c>
      <c r="F14">
        <f t="shared" si="1"/>
        <v>314000</v>
      </c>
      <c r="G14">
        <v>32000</v>
      </c>
      <c r="H14">
        <f t="shared" si="2"/>
        <v>298000</v>
      </c>
      <c r="I14">
        <v>9000</v>
      </c>
    </row>
    <row r="15" spans="1:14" x14ac:dyDescent="0.25">
      <c r="A15">
        <v>11</v>
      </c>
      <c r="B15">
        <f t="shared" si="3"/>
        <v>634000</v>
      </c>
      <c r="C15">
        <v>8000</v>
      </c>
      <c r="D15">
        <f t="shared" si="0"/>
        <v>386000</v>
      </c>
      <c r="E15">
        <v>24000</v>
      </c>
      <c r="F15">
        <f t="shared" si="1"/>
        <v>374000</v>
      </c>
      <c r="G15">
        <v>60000</v>
      </c>
      <c r="H15">
        <f t="shared" si="2"/>
        <v>305000</v>
      </c>
      <c r="I15">
        <v>7000</v>
      </c>
    </row>
    <row r="16" spans="1:14" x14ac:dyDescent="0.25">
      <c r="A16">
        <v>12</v>
      </c>
      <c r="B16">
        <f t="shared" si="3"/>
        <v>753000</v>
      </c>
      <c r="C16">
        <v>119000</v>
      </c>
      <c r="D16">
        <f t="shared" si="0"/>
        <v>417000</v>
      </c>
      <c r="E16">
        <v>31000</v>
      </c>
      <c r="F16">
        <f t="shared" si="1"/>
        <v>402000</v>
      </c>
      <c r="G16">
        <v>28000</v>
      </c>
      <c r="H16">
        <f t="shared" si="2"/>
        <v>339000</v>
      </c>
      <c r="I16">
        <v>34000</v>
      </c>
    </row>
    <row r="17" spans="1:9" x14ac:dyDescent="0.25">
      <c r="A17">
        <v>13</v>
      </c>
      <c r="B17">
        <f t="shared" si="3"/>
        <v>854000</v>
      </c>
      <c r="C17">
        <v>101000</v>
      </c>
      <c r="D17">
        <f t="shared" si="0"/>
        <v>426000</v>
      </c>
      <c r="E17">
        <v>9000</v>
      </c>
      <c r="F17">
        <f t="shared" si="1"/>
        <v>464000</v>
      </c>
      <c r="G17">
        <v>62000</v>
      </c>
      <c r="H17">
        <f t="shared" si="2"/>
        <v>364000</v>
      </c>
      <c r="I17">
        <v>25000</v>
      </c>
    </row>
    <row r="18" spans="1:9" x14ac:dyDescent="0.25">
      <c r="A18">
        <v>14</v>
      </c>
      <c r="B18">
        <f t="shared" si="3"/>
        <v>897000</v>
      </c>
      <c r="C18">
        <v>43000</v>
      </c>
      <c r="D18">
        <f t="shared" si="0"/>
        <v>434000</v>
      </c>
      <c r="E18">
        <v>8000</v>
      </c>
      <c r="F18">
        <f t="shared" si="1"/>
        <v>503000</v>
      </c>
      <c r="G18">
        <v>39000</v>
      </c>
      <c r="H18">
        <f t="shared" si="2"/>
        <v>428000</v>
      </c>
      <c r="I18">
        <v>64000</v>
      </c>
    </row>
    <row r="19" spans="1:9" x14ac:dyDescent="0.25">
      <c r="A19">
        <v>15</v>
      </c>
      <c r="B19">
        <f t="shared" si="3"/>
        <v>974000</v>
      </c>
      <c r="C19">
        <v>77000</v>
      </c>
      <c r="D19">
        <f t="shared" si="0"/>
        <v>475000</v>
      </c>
      <c r="E19">
        <v>41000</v>
      </c>
      <c r="F19">
        <f t="shared" si="1"/>
        <v>525000</v>
      </c>
      <c r="G19">
        <v>22000</v>
      </c>
      <c r="H19">
        <f t="shared" si="2"/>
        <v>456000</v>
      </c>
      <c r="I19">
        <v>28000</v>
      </c>
    </row>
    <row r="20" spans="1:9" x14ac:dyDescent="0.25">
      <c r="A20">
        <v>16</v>
      </c>
      <c r="B20">
        <f t="shared" si="3"/>
        <v>1072000</v>
      </c>
      <c r="C20">
        <v>98000</v>
      </c>
      <c r="D20">
        <f t="shared" si="0"/>
        <v>482000</v>
      </c>
      <c r="E20">
        <v>7000</v>
      </c>
      <c r="F20">
        <f t="shared" si="1"/>
        <v>558000</v>
      </c>
      <c r="G20">
        <v>33000</v>
      </c>
      <c r="H20">
        <f t="shared" si="2"/>
        <v>480000</v>
      </c>
      <c r="I20">
        <v>24000</v>
      </c>
    </row>
    <row r="21" spans="1:9" x14ac:dyDescent="0.25">
      <c r="A21">
        <v>17</v>
      </c>
      <c r="B21">
        <f t="shared" si="3"/>
        <v>1139000</v>
      </c>
      <c r="C21">
        <v>67000</v>
      </c>
      <c r="D21">
        <f t="shared" si="0"/>
        <v>523000</v>
      </c>
      <c r="E21">
        <v>41000</v>
      </c>
      <c r="F21">
        <f t="shared" si="1"/>
        <v>599000</v>
      </c>
      <c r="G21">
        <v>41000</v>
      </c>
      <c r="H21">
        <f t="shared" si="2"/>
        <v>490000</v>
      </c>
      <c r="I21">
        <v>10000</v>
      </c>
    </row>
    <row r="22" spans="1:9" x14ac:dyDescent="0.25">
      <c r="A22">
        <v>18</v>
      </c>
      <c r="B22">
        <f t="shared" si="3"/>
        <v>1217000</v>
      </c>
      <c r="C22">
        <v>78000</v>
      </c>
      <c r="D22">
        <f t="shared" si="0"/>
        <v>562000</v>
      </c>
      <c r="E22">
        <v>39000</v>
      </c>
      <c r="F22">
        <f t="shared" si="1"/>
        <v>668000</v>
      </c>
      <c r="G22">
        <v>69000</v>
      </c>
      <c r="H22">
        <f t="shared" si="2"/>
        <v>496000</v>
      </c>
      <c r="I22">
        <v>6000</v>
      </c>
    </row>
    <row r="23" spans="1:9" x14ac:dyDescent="0.25">
      <c r="A23">
        <v>19</v>
      </c>
      <c r="B23">
        <f t="shared" si="3"/>
        <v>1306000</v>
      </c>
      <c r="C23">
        <v>89000</v>
      </c>
      <c r="D23">
        <f t="shared" si="0"/>
        <v>596000</v>
      </c>
      <c r="E23">
        <v>34000</v>
      </c>
      <c r="F23">
        <f t="shared" si="1"/>
        <v>702000</v>
      </c>
      <c r="G23">
        <v>34000</v>
      </c>
      <c r="H23">
        <f t="shared" si="2"/>
        <v>556000</v>
      </c>
      <c r="I23">
        <v>60000</v>
      </c>
    </row>
    <row r="24" spans="1:9" x14ac:dyDescent="0.25">
      <c r="A24">
        <v>20</v>
      </c>
      <c r="B24">
        <f t="shared" si="3"/>
        <v>1492000</v>
      </c>
      <c r="C24">
        <v>186000</v>
      </c>
      <c r="D24">
        <f t="shared" si="0"/>
        <v>637000</v>
      </c>
      <c r="E24">
        <v>41000</v>
      </c>
      <c r="F24">
        <f t="shared" si="1"/>
        <v>705000</v>
      </c>
      <c r="G24">
        <v>3000</v>
      </c>
      <c r="H24">
        <f t="shared" si="2"/>
        <v>591000</v>
      </c>
      <c r="I24">
        <v>35000</v>
      </c>
    </row>
  </sheetData>
  <mergeCells count="3">
    <mergeCell ref="A2:B2"/>
    <mergeCell ref="K1:L1"/>
    <mergeCell ref="A3:A4"/>
  </mergeCells>
  <conditionalFormatting sqref="H4">
    <cfRule type="expression" dxfId="23" priority="13">
      <formula>$G8=$F8</formula>
    </cfRule>
    <cfRule type="expression" dxfId="22" priority="14">
      <formula>$G8=$D8</formula>
    </cfRule>
    <cfRule type="expression" dxfId="21" priority="15">
      <formula>$G8=$C8</formula>
    </cfRule>
  </conditionalFormatting>
  <conditionalFormatting sqref="B4">
    <cfRule type="expression" dxfId="20" priority="46">
      <formula>$G5=$F5</formula>
    </cfRule>
    <cfRule type="expression" dxfId="19" priority="47">
      <formula>$G5=$D5</formula>
    </cfRule>
    <cfRule type="expression" dxfId="18" priority="48">
      <formula>$G5=$C5</formula>
    </cfRule>
  </conditionalFormatting>
  <conditionalFormatting sqref="D4">
    <cfRule type="expression" dxfId="17" priority="52">
      <formula>$G6=$F6</formula>
    </cfRule>
    <cfRule type="expression" dxfId="16" priority="53">
      <formula>$G6=$D6</formula>
    </cfRule>
    <cfRule type="expression" dxfId="15" priority="54">
      <formula>$G6=$C6</formula>
    </cfRule>
  </conditionalFormatting>
  <conditionalFormatting sqref="F4">
    <cfRule type="expression" dxfId="14" priority="58">
      <formula>$G7=$F7</formula>
    </cfRule>
    <cfRule type="expression" dxfId="13" priority="59">
      <formula>$G7=$D7</formula>
    </cfRule>
    <cfRule type="expression" dxfId="12" priority="60">
      <formula>$G7=$C7</formula>
    </cfRule>
  </conditionalFormatting>
  <conditionalFormatting sqref="C5:C24">
    <cfRule type="cellIs" dxfId="11" priority="10" operator="greaterThanOrEqual">
      <formula>150000</formula>
    </cfRule>
    <cfRule type="cellIs" dxfId="10" priority="11" operator="between">
      <formula>31000</formula>
      <formula>149000</formula>
    </cfRule>
    <cfRule type="cellIs" dxfId="9" priority="12" operator="lessThanOrEqual">
      <formula>30000</formula>
    </cfRule>
  </conditionalFormatting>
  <conditionalFormatting sqref="E5:E24">
    <cfRule type="cellIs" dxfId="8" priority="7" operator="greaterThanOrEqual">
      <formula>60000</formula>
    </cfRule>
    <cfRule type="cellIs" dxfId="7" priority="8" operator="between">
      <formula>11000</formula>
      <formula>59000</formula>
    </cfRule>
    <cfRule type="cellIs" dxfId="6" priority="9" operator="lessThanOrEqual">
      <formula>10000</formula>
    </cfRule>
  </conditionalFormatting>
  <conditionalFormatting sqref="G5:G24">
    <cfRule type="cellIs" dxfId="5" priority="4" operator="greaterThanOrEqual">
      <formula>50000</formula>
    </cfRule>
    <cfRule type="cellIs" dxfId="4" priority="5" operator="between">
      <formula>14000</formula>
      <formula>49000</formula>
    </cfRule>
    <cfRule type="cellIs" dxfId="3" priority="6" operator="lessThanOrEqual">
      <formula>13000</formula>
    </cfRule>
  </conditionalFormatting>
  <conditionalFormatting sqref="I5:I24">
    <cfRule type="cellIs" dxfId="2" priority="1" operator="greaterThanOrEqual">
      <formula>50000</formula>
    </cfRule>
    <cfRule type="cellIs" dxfId="1" priority="2" operator="between">
      <formula>14000</formula>
      <formula>49000</formula>
    </cfRule>
    <cfRule type="cellIs" dxfId="0" priority="3" operator="lessThanOrEqual">
      <formula>10000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26"/>
  <sheetViews>
    <sheetView workbookViewId="0">
      <selection activeCell="J31" sqref="J31"/>
    </sheetView>
  </sheetViews>
  <sheetFormatPr defaultRowHeight="15" x14ac:dyDescent="0.25"/>
  <cols>
    <col min="1" max="1" width="12" customWidth="1"/>
  </cols>
  <sheetData>
    <row r="1" spans="1:11" x14ac:dyDescent="0.25">
      <c r="A1" s="59" t="s">
        <v>106</v>
      </c>
      <c r="B1" s="59"/>
      <c r="C1" s="59"/>
      <c r="D1" s="59"/>
      <c r="I1">
        <v>1</v>
      </c>
    </row>
    <row r="2" spans="1:11" x14ac:dyDescent="0.25">
      <c r="K2">
        <v>1</v>
      </c>
    </row>
    <row r="3" spans="1:11" x14ac:dyDescent="0.25">
      <c r="A3" s="147" t="str">
        <f>IF(I1=1,"Praha",IF(I1=2,"Brno",IF(I1=3,"Plzeň",(IF(I1=4,"Ostrava",Chyba)))))</f>
        <v>Praha</v>
      </c>
      <c r="B3" s="2">
        <f ca="1">IF(I1=1,'03 Logika'!G8,IF(I1=2,'03 Logika'!G9,IF(I1=3,'03 Logika'!G10,(IF(I1=4,'03 Logika'!G11,Chyba)))))</f>
        <v>326000</v>
      </c>
      <c r="C3">
        <v>1</v>
      </c>
      <c r="D3">
        <v>2</v>
      </c>
      <c r="E3">
        <v>3</v>
      </c>
      <c r="F3">
        <v>4</v>
      </c>
      <c r="G3">
        <v>5</v>
      </c>
      <c r="H3">
        <v>6</v>
      </c>
      <c r="I3">
        <v>7</v>
      </c>
      <c r="J3">
        <v>8</v>
      </c>
    </row>
    <row r="4" spans="1:11" x14ac:dyDescent="0.25">
      <c r="C4">
        <f t="dataTable" ref="C4:J23" dt2D="1" dtr="1" r1="K2" r2="M8" ca="1"/>
        <v>114000</v>
      </c>
      <c r="D4">
        <v>46000</v>
      </c>
      <c r="E4">
        <v>25000</v>
      </c>
      <c r="F4">
        <v>110000</v>
      </c>
      <c r="G4">
        <v>313000</v>
      </c>
      <c r="H4">
        <v>11000</v>
      </c>
      <c r="I4">
        <v>29000</v>
      </c>
      <c r="J4">
        <v>114000</v>
      </c>
    </row>
    <row r="5" spans="1:11" x14ac:dyDescent="0.25">
      <c r="C5">
        <v>23000</v>
      </c>
      <c r="D5">
        <v>81000</v>
      </c>
      <c r="E5">
        <v>108000</v>
      </c>
      <c r="F5">
        <v>105000</v>
      </c>
      <c r="G5">
        <v>280000</v>
      </c>
      <c r="H5">
        <v>265000</v>
      </c>
      <c r="I5">
        <v>59000</v>
      </c>
      <c r="J5">
        <v>100000</v>
      </c>
    </row>
    <row r="6" spans="1:11" x14ac:dyDescent="0.25">
      <c r="C6">
        <v>76000</v>
      </c>
      <c r="D6">
        <v>19000</v>
      </c>
      <c r="E6">
        <v>76000</v>
      </c>
      <c r="F6">
        <v>98000</v>
      </c>
      <c r="G6">
        <v>90000</v>
      </c>
      <c r="H6">
        <v>87000</v>
      </c>
      <c r="I6">
        <v>96000</v>
      </c>
      <c r="J6">
        <v>102000</v>
      </c>
    </row>
    <row r="7" spans="1:11" x14ac:dyDescent="0.25">
      <c r="C7">
        <v>96000</v>
      </c>
      <c r="D7">
        <v>105000</v>
      </c>
      <c r="E7">
        <v>111000</v>
      </c>
      <c r="F7">
        <v>81000</v>
      </c>
      <c r="G7">
        <v>77000</v>
      </c>
      <c r="H7">
        <v>90000</v>
      </c>
      <c r="I7">
        <v>98000</v>
      </c>
      <c r="J7">
        <v>130000</v>
      </c>
    </row>
    <row r="8" spans="1:11" x14ac:dyDescent="0.25">
      <c r="C8">
        <v>215000</v>
      </c>
      <c r="D8">
        <v>104000</v>
      </c>
      <c r="E8">
        <v>101000</v>
      </c>
      <c r="F8">
        <v>88000</v>
      </c>
      <c r="G8">
        <v>100000</v>
      </c>
      <c r="H8">
        <v>7000</v>
      </c>
      <c r="I8">
        <v>87000</v>
      </c>
      <c r="J8">
        <v>167000</v>
      </c>
    </row>
    <row r="9" spans="1:11" x14ac:dyDescent="0.25">
      <c r="C9">
        <v>88000</v>
      </c>
      <c r="D9">
        <v>87000</v>
      </c>
      <c r="E9">
        <v>13000</v>
      </c>
      <c r="F9">
        <v>82000</v>
      </c>
      <c r="G9">
        <v>97000</v>
      </c>
      <c r="H9">
        <v>8000</v>
      </c>
      <c r="I9">
        <v>88000</v>
      </c>
      <c r="J9">
        <v>97000</v>
      </c>
    </row>
    <row r="10" spans="1:11" x14ac:dyDescent="0.25">
      <c r="C10">
        <v>196000</v>
      </c>
      <c r="D10">
        <v>45000</v>
      </c>
      <c r="E10">
        <v>78000</v>
      </c>
      <c r="F10">
        <v>269000</v>
      </c>
      <c r="G10">
        <v>262000</v>
      </c>
      <c r="H10">
        <v>89000</v>
      </c>
      <c r="I10">
        <v>92000</v>
      </c>
      <c r="J10">
        <v>93000</v>
      </c>
    </row>
    <row r="11" spans="1:11" x14ac:dyDescent="0.25">
      <c r="C11">
        <v>114000</v>
      </c>
      <c r="D11">
        <v>84000</v>
      </c>
      <c r="E11">
        <v>92000</v>
      </c>
      <c r="F11">
        <v>78000</v>
      </c>
      <c r="G11">
        <v>105000</v>
      </c>
      <c r="H11">
        <v>94000</v>
      </c>
      <c r="I11">
        <v>77000</v>
      </c>
      <c r="J11">
        <v>85000</v>
      </c>
    </row>
    <row r="12" spans="1:11" x14ac:dyDescent="0.25">
      <c r="C12">
        <v>26000</v>
      </c>
      <c r="D12">
        <v>96000</v>
      </c>
      <c r="E12">
        <v>19000</v>
      </c>
      <c r="F12">
        <v>90000</v>
      </c>
      <c r="G12">
        <v>93000</v>
      </c>
      <c r="H12">
        <v>123000</v>
      </c>
      <c r="I12">
        <v>93000</v>
      </c>
      <c r="J12">
        <v>96000</v>
      </c>
    </row>
    <row r="13" spans="1:11" x14ac:dyDescent="0.25">
      <c r="C13">
        <v>24000</v>
      </c>
      <c r="D13">
        <v>47000</v>
      </c>
      <c r="E13">
        <v>69000</v>
      </c>
      <c r="F13">
        <v>84000</v>
      </c>
      <c r="G13">
        <v>81000</v>
      </c>
      <c r="H13">
        <v>61000</v>
      </c>
      <c r="I13">
        <v>110000</v>
      </c>
      <c r="J13">
        <v>79000</v>
      </c>
    </row>
    <row r="14" spans="1:11" x14ac:dyDescent="0.25">
      <c r="C14">
        <v>305000</v>
      </c>
      <c r="D14">
        <v>117000</v>
      </c>
      <c r="E14">
        <v>211000</v>
      </c>
      <c r="F14">
        <v>79000</v>
      </c>
      <c r="G14">
        <v>97000</v>
      </c>
      <c r="H14">
        <v>187000</v>
      </c>
      <c r="I14">
        <v>72000</v>
      </c>
      <c r="J14">
        <v>8000</v>
      </c>
    </row>
    <row r="15" spans="1:11" x14ac:dyDescent="0.25">
      <c r="C15">
        <v>109000</v>
      </c>
      <c r="D15">
        <v>203000</v>
      </c>
      <c r="E15">
        <v>103000</v>
      </c>
      <c r="F15">
        <v>89000</v>
      </c>
      <c r="G15">
        <v>120000</v>
      </c>
      <c r="H15">
        <v>185000</v>
      </c>
      <c r="I15">
        <v>85000</v>
      </c>
      <c r="J15">
        <v>77000</v>
      </c>
    </row>
    <row r="16" spans="1:11" x14ac:dyDescent="0.25">
      <c r="C16">
        <v>83000</v>
      </c>
      <c r="D16">
        <v>116000</v>
      </c>
      <c r="E16">
        <v>112000</v>
      </c>
      <c r="F16">
        <v>71000</v>
      </c>
      <c r="G16">
        <v>338000</v>
      </c>
      <c r="H16">
        <v>84000</v>
      </c>
      <c r="I16">
        <v>151000</v>
      </c>
      <c r="J16">
        <v>68000</v>
      </c>
    </row>
    <row r="17" spans="2:11" x14ac:dyDescent="0.25">
      <c r="C17">
        <v>48000</v>
      </c>
      <c r="D17">
        <v>130000</v>
      </c>
      <c r="E17">
        <v>88000</v>
      </c>
      <c r="F17">
        <v>75000</v>
      </c>
      <c r="G17">
        <v>65000</v>
      </c>
      <c r="H17">
        <v>73000</v>
      </c>
      <c r="I17">
        <v>178000</v>
      </c>
      <c r="J17">
        <v>203000</v>
      </c>
    </row>
    <row r="18" spans="2:11" x14ac:dyDescent="0.25">
      <c r="C18">
        <v>94000</v>
      </c>
      <c r="D18">
        <v>89000</v>
      </c>
      <c r="E18">
        <v>95000</v>
      </c>
      <c r="F18">
        <v>77000</v>
      </c>
      <c r="G18">
        <v>83000</v>
      </c>
      <c r="H18">
        <v>110000</v>
      </c>
      <c r="I18">
        <v>73000</v>
      </c>
      <c r="J18">
        <v>109000</v>
      </c>
    </row>
    <row r="19" spans="2:11" x14ac:dyDescent="0.25">
      <c r="C19">
        <v>101000</v>
      </c>
      <c r="D19">
        <v>281000</v>
      </c>
      <c r="E19">
        <v>11000</v>
      </c>
      <c r="F19">
        <v>88000</v>
      </c>
      <c r="G19">
        <v>86000</v>
      </c>
      <c r="H19">
        <v>83000</v>
      </c>
      <c r="I19">
        <v>137000</v>
      </c>
      <c r="J19">
        <v>93000</v>
      </c>
    </row>
    <row r="20" spans="2:11" x14ac:dyDescent="0.25">
      <c r="C20">
        <v>304000</v>
      </c>
      <c r="D20">
        <v>178000</v>
      </c>
      <c r="E20">
        <v>15000</v>
      </c>
      <c r="F20">
        <v>94000</v>
      </c>
      <c r="G20">
        <v>86000</v>
      </c>
      <c r="H20">
        <v>97000</v>
      </c>
      <c r="I20">
        <v>78000</v>
      </c>
      <c r="J20">
        <v>10000</v>
      </c>
    </row>
    <row r="21" spans="2:11" x14ac:dyDescent="0.25">
      <c r="C21">
        <v>87000</v>
      </c>
      <c r="D21">
        <v>87000</v>
      </c>
      <c r="E21">
        <v>190000</v>
      </c>
      <c r="F21">
        <v>46000</v>
      </c>
      <c r="G21">
        <v>25000</v>
      </c>
      <c r="H21">
        <v>65000</v>
      </c>
      <c r="I21">
        <v>15000</v>
      </c>
      <c r="J21">
        <v>99000</v>
      </c>
    </row>
    <row r="22" spans="2:11" x14ac:dyDescent="0.25">
      <c r="C22">
        <v>340000</v>
      </c>
      <c r="D22">
        <v>88000</v>
      </c>
      <c r="E22">
        <v>320000</v>
      </c>
      <c r="F22">
        <v>19000</v>
      </c>
      <c r="G22">
        <v>10000</v>
      </c>
      <c r="H22">
        <v>281000</v>
      </c>
      <c r="I22">
        <v>323000</v>
      </c>
      <c r="J22">
        <v>101000</v>
      </c>
    </row>
    <row r="23" spans="2:11" ht="15.75" thickBot="1" x14ac:dyDescent="0.3">
      <c r="C23">
        <v>73000</v>
      </c>
      <c r="D23">
        <v>17000</v>
      </c>
      <c r="E23">
        <v>81000</v>
      </c>
      <c r="F23">
        <v>114000</v>
      </c>
      <c r="G23">
        <v>90000</v>
      </c>
      <c r="H23">
        <v>98000</v>
      </c>
      <c r="I23">
        <v>15000</v>
      </c>
      <c r="J23">
        <v>239000</v>
      </c>
    </row>
    <row r="24" spans="2:11" x14ac:dyDescent="0.25">
      <c r="B24" t="s">
        <v>20</v>
      </c>
      <c r="C24" s="1">
        <f>AVERAGE(C4:C23)</f>
        <v>125800</v>
      </c>
      <c r="D24" s="1">
        <f t="shared" ref="D24:J24" si="0">AVERAGE(D4:D23)</f>
        <v>101000</v>
      </c>
      <c r="E24" s="1">
        <f t="shared" si="0"/>
        <v>95900</v>
      </c>
      <c r="F24" s="1">
        <f t="shared" si="0"/>
        <v>91850</v>
      </c>
      <c r="G24" s="1">
        <f t="shared" si="0"/>
        <v>124900</v>
      </c>
      <c r="H24" s="1">
        <f t="shared" si="0"/>
        <v>104900</v>
      </c>
      <c r="I24" s="1">
        <f t="shared" si="0"/>
        <v>97800</v>
      </c>
      <c r="J24" s="1">
        <f t="shared" si="0"/>
        <v>103500</v>
      </c>
      <c r="K24" s="9">
        <f>AVERAGE(C24:J24)</f>
        <v>105706.25</v>
      </c>
    </row>
    <row r="25" spans="2:11" x14ac:dyDescent="0.25">
      <c r="B25" t="s">
        <v>67</v>
      </c>
      <c r="C25">
        <f>MIN(C4:C23)</f>
        <v>23000</v>
      </c>
      <c r="D25">
        <f t="shared" ref="D25:J25" si="1">MIN(D4:D23)</f>
        <v>17000</v>
      </c>
      <c r="E25">
        <f t="shared" si="1"/>
        <v>11000</v>
      </c>
      <c r="F25">
        <f t="shared" si="1"/>
        <v>19000</v>
      </c>
      <c r="G25">
        <f t="shared" si="1"/>
        <v>10000</v>
      </c>
      <c r="H25">
        <f t="shared" si="1"/>
        <v>7000</v>
      </c>
      <c r="I25">
        <f t="shared" si="1"/>
        <v>15000</v>
      </c>
      <c r="J25">
        <f t="shared" si="1"/>
        <v>8000</v>
      </c>
      <c r="K25" s="10">
        <f>MIN(C25:J25)</f>
        <v>7000</v>
      </c>
    </row>
    <row r="26" spans="2:11" ht="15.75" thickBot="1" x14ac:dyDescent="0.3">
      <c r="B26" t="s">
        <v>68</v>
      </c>
      <c r="C26">
        <f>MAX(C4:C23)</f>
        <v>340000</v>
      </c>
      <c r="D26">
        <f t="shared" ref="D26:J26" si="2">MAX(D4:D23)</f>
        <v>281000</v>
      </c>
      <c r="E26">
        <f t="shared" si="2"/>
        <v>320000</v>
      </c>
      <c r="F26">
        <f t="shared" si="2"/>
        <v>269000</v>
      </c>
      <c r="G26">
        <f t="shared" si="2"/>
        <v>338000</v>
      </c>
      <c r="H26">
        <f t="shared" si="2"/>
        <v>281000</v>
      </c>
      <c r="I26">
        <f t="shared" si="2"/>
        <v>323000</v>
      </c>
      <c r="J26">
        <f t="shared" si="2"/>
        <v>239000</v>
      </c>
      <c r="K26" s="11">
        <f>MAX(C26:J26)</f>
        <v>340000</v>
      </c>
    </row>
  </sheetData>
  <mergeCells count="1">
    <mergeCell ref="A1:D1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Drop Down 1">
              <controlPr defaultSize="0" autoLine="0" autoPict="0">
                <anchor moveWithCells="1">
                  <from>
                    <xdr:col>5</xdr:col>
                    <xdr:colOff>0</xdr:colOff>
                    <xdr:row>0</xdr:row>
                    <xdr:rowOff>28575</xdr:rowOff>
                  </from>
                  <to>
                    <xdr:col>7</xdr:col>
                    <xdr:colOff>19050</xdr:colOff>
                    <xdr:row>1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25"/>
  <sheetViews>
    <sheetView topLeftCell="F1" workbookViewId="0">
      <selection activeCell="Q29" sqref="Q29"/>
    </sheetView>
  </sheetViews>
  <sheetFormatPr defaultRowHeight="15" x14ac:dyDescent="0.25"/>
  <cols>
    <col min="1" max="1" width="17.140625" customWidth="1"/>
    <col min="3" max="3" width="9.140625" customWidth="1"/>
  </cols>
  <sheetData>
    <row r="1" spans="1:24" x14ac:dyDescent="0.25">
      <c r="A1" s="59" t="s">
        <v>23</v>
      </c>
      <c r="B1" s="59"/>
      <c r="C1" s="59"/>
      <c r="D1" s="59"/>
      <c r="E1" s="59"/>
      <c r="I1">
        <v>4</v>
      </c>
      <c r="X1">
        <v>1</v>
      </c>
    </row>
    <row r="2" spans="1:24" x14ac:dyDescent="0.25">
      <c r="A2" s="146" t="str">
        <f>IF(I1=1,"Praha",IF(I1=2,"Brno",IF(I1=3,"Plzeň",(IF(I1=4,"Ostrava",Chyba)))))</f>
        <v>Ostrava</v>
      </c>
      <c r="B2" s="119">
        <f ca="1">IF(I1=1,'03 Logika'!J12,IF(I1=2,'03 Logika'!K12,IF(I1=3,'03 Logika'!L12,(IF(I1=4,'03 Logika'!M12,Chyba)))))</f>
        <v>96</v>
      </c>
      <c r="C2">
        <v>1</v>
      </c>
      <c r="D2">
        <v>2</v>
      </c>
      <c r="E2">
        <v>3</v>
      </c>
      <c r="F2">
        <v>4</v>
      </c>
      <c r="G2">
        <v>5</v>
      </c>
      <c r="H2">
        <v>6</v>
      </c>
      <c r="I2">
        <v>7</v>
      </c>
      <c r="J2">
        <v>8</v>
      </c>
      <c r="K2">
        <v>9</v>
      </c>
      <c r="L2">
        <v>10</v>
      </c>
      <c r="M2">
        <v>11</v>
      </c>
      <c r="N2">
        <v>12</v>
      </c>
      <c r="O2">
        <v>13</v>
      </c>
      <c r="P2">
        <v>14</v>
      </c>
      <c r="Q2">
        <v>15</v>
      </c>
      <c r="R2">
        <v>16</v>
      </c>
      <c r="S2">
        <v>17</v>
      </c>
      <c r="T2">
        <v>18</v>
      </c>
      <c r="U2">
        <v>19</v>
      </c>
      <c r="V2">
        <v>20</v>
      </c>
    </row>
    <row r="3" spans="1:24" x14ac:dyDescent="0.25">
      <c r="C3">
        <f t="dataTable" ref="C3:V22" dt2D="1" dtr="1" r1="X1" r2="X3" ca="1"/>
        <v>96</v>
      </c>
      <c r="D3">
        <v>95</v>
      </c>
      <c r="E3">
        <v>88</v>
      </c>
      <c r="F3">
        <v>94</v>
      </c>
      <c r="G3">
        <v>88</v>
      </c>
      <c r="H3">
        <v>88</v>
      </c>
      <c r="I3">
        <v>95</v>
      </c>
      <c r="J3">
        <v>90</v>
      </c>
      <c r="K3">
        <v>93</v>
      </c>
      <c r="L3">
        <v>95</v>
      </c>
      <c r="M3">
        <v>93</v>
      </c>
      <c r="N3">
        <v>91</v>
      </c>
      <c r="O3">
        <v>99</v>
      </c>
      <c r="P3">
        <v>102</v>
      </c>
      <c r="Q3">
        <v>94</v>
      </c>
      <c r="R3">
        <v>88</v>
      </c>
      <c r="S3">
        <v>91</v>
      </c>
      <c r="T3">
        <v>91</v>
      </c>
      <c r="U3">
        <v>95</v>
      </c>
      <c r="V3">
        <v>95</v>
      </c>
    </row>
    <row r="4" spans="1:24" x14ac:dyDescent="0.25">
      <c r="C4">
        <v>101</v>
      </c>
      <c r="D4">
        <v>94</v>
      </c>
      <c r="E4">
        <v>89</v>
      </c>
      <c r="F4">
        <v>88</v>
      </c>
      <c r="G4">
        <v>95</v>
      </c>
      <c r="H4">
        <v>100</v>
      </c>
      <c r="I4">
        <v>90</v>
      </c>
      <c r="J4">
        <v>99</v>
      </c>
      <c r="K4">
        <v>88</v>
      </c>
      <c r="L4">
        <v>86</v>
      </c>
      <c r="M4">
        <v>88</v>
      </c>
      <c r="N4">
        <v>94</v>
      </c>
      <c r="O4">
        <v>91</v>
      </c>
      <c r="P4">
        <v>91</v>
      </c>
      <c r="Q4">
        <v>96</v>
      </c>
      <c r="R4">
        <v>97</v>
      </c>
      <c r="S4">
        <v>88</v>
      </c>
      <c r="T4">
        <v>92</v>
      </c>
      <c r="U4">
        <v>92</v>
      </c>
      <c r="V4">
        <v>90</v>
      </c>
    </row>
    <row r="5" spans="1:24" x14ac:dyDescent="0.25">
      <c r="C5">
        <v>96</v>
      </c>
      <c r="D5">
        <v>88</v>
      </c>
      <c r="E5">
        <v>90</v>
      </c>
      <c r="F5">
        <v>92</v>
      </c>
      <c r="G5">
        <v>91</v>
      </c>
      <c r="H5">
        <v>100</v>
      </c>
      <c r="I5">
        <v>96</v>
      </c>
      <c r="J5">
        <v>95</v>
      </c>
      <c r="K5">
        <v>91</v>
      </c>
      <c r="L5">
        <v>92</v>
      </c>
      <c r="M5">
        <v>86</v>
      </c>
      <c r="N5">
        <v>94</v>
      </c>
      <c r="O5">
        <v>98</v>
      </c>
      <c r="P5">
        <v>89</v>
      </c>
      <c r="Q5">
        <v>88</v>
      </c>
      <c r="R5">
        <v>98</v>
      </c>
      <c r="S5">
        <v>92</v>
      </c>
      <c r="T5">
        <v>90</v>
      </c>
      <c r="U5">
        <v>92</v>
      </c>
      <c r="V5">
        <v>92</v>
      </c>
    </row>
    <row r="6" spans="1:24" x14ac:dyDescent="0.25">
      <c r="C6">
        <v>97</v>
      </c>
      <c r="D6">
        <v>90</v>
      </c>
      <c r="E6">
        <v>87</v>
      </c>
      <c r="F6">
        <v>88</v>
      </c>
      <c r="G6">
        <v>96</v>
      </c>
      <c r="H6">
        <v>92</v>
      </c>
      <c r="I6">
        <v>90</v>
      </c>
      <c r="J6">
        <v>88</v>
      </c>
      <c r="K6">
        <v>95</v>
      </c>
      <c r="L6">
        <v>93</v>
      </c>
      <c r="M6">
        <v>89</v>
      </c>
      <c r="N6">
        <v>99</v>
      </c>
      <c r="O6">
        <v>90</v>
      </c>
      <c r="P6">
        <v>104</v>
      </c>
      <c r="Q6">
        <v>92</v>
      </c>
      <c r="R6">
        <v>91</v>
      </c>
      <c r="S6">
        <v>100</v>
      </c>
      <c r="T6">
        <v>92</v>
      </c>
      <c r="U6">
        <v>93</v>
      </c>
      <c r="V6">
        <v>85</v>
      </c>
    </row>
    <row r="7" spans="1:24" x14ac:dyDescent="0.25">
      <c r="C7">
        <v>89</v>
      </c>
      <c r="D7">
        <v>86</v>
      </c>
      <c r="E7">
        <v>91</v>
      </c>
      <c r="F7">
        <v>95</v>
      </c>
      <c r="G7">
        <v>93</v>
      </c>
      <c r="H7">
        <v>96</v>
      </c>
      <c r="I7">
        <v>94</v>
      </c>
      <c r="J7">
        <v>89</v>
      </c>
      <c r="K7">
        <v>96</v>
      </c>
      <c r="L7">
        <v>88</v>
      </c>
      <c r="M7">
        <v>98</v>
      </c>
      <c r="N7">
        <v>96</v>
      </c>
      <c r="O7">
        <v>90</v>
      </c>
      <c r="P7">
        <v>98</v>
      </c>
      <c r="Q7">
        <v>97</v>
      </c>
      <c r="R7">
        <v>98</v>
      </c>
      <c r="S7">
        <v>95</v>
      </c>
      <c r="T7">
        <v>94</v>
      </c>
      <c r="U7">
        <v>92</v>
      </c>
      <c r="V7">
        <v>98</v>
      </c>
    </row>
    <row r="8" spans="1:24" x14ac:dyDescent="0.25">
      <c r="C8">
        <v>95</v>
      </c>
      <c r="D8">
        <v>91</v>
      </c>
      <c r="E8">
        <v>91</v>
      </c>
      <c r="F8">
        <v>97</v>
      </c>
      <c r="G8">
        <v>92</v>
      </c>
      <c r="H8">
        <v>93</v>
      </c>
      <c r="I8">
        <v>84</v>
      </c>
      <c r="J8">
        <v>98</v>
      </c>
      <c r="K8">
        <v>92</v>
      </c>
      <c r="L8">
        <v>87</v>
      </c>
      <c r="M8">
        <v>90</v>
      </c>
      <c r="N8">
        <v>96</v>
      </c>
      <c r="O8">
        <v>95</v>
      </c>
      <c r="P8">
        <v>91</v>
      </c>
      <c r="Q8">
        <v>97</v>
      </c>
      <c r="R8">
        <v>94</v>
      </c>
      <c r="S8">
        <v>90</v>
      </c>
      <c r="T8">
        <v>90</v>
      </c>
      <c r="U8">
        <v>92</v>
      </c>
      <c r="V8">
        <v>97</v>
      </c>
    </row>
    <row r="9" spans="1:24" x14ac:dyDescent="0.25">
      <c r="C9">
        <v>98</v>
      </c>
      <c r="D9">
        <v>93</v>
      </c>
      <c r="E9">
        <v>87</v>
      </c>
      <c r="F9">
        <v>87</v>
      </c>
      <c r="G9">
        <v>94</v>
      </c>
      <c r="H9">
        <v>94</v>
      </c>
      <c r="I9">
        <v>92</v>
      </c>
      <c r="J9">
        <v>87</v>
      </c>
      <c r="K9">
        <v>92</v>
      </c>
      <c r="L9">
        <v>87</v>
      </c>
      <c r="M9">
        <v>89</v>
      </c>
      <c r="N9">
        <v>90</v>
      </c>
      <c r="O9">
        <v>90</v>
      </c>
      <c r="P9">
        <v>98</v>
      </c>
      <c r="Q9">
        <v>91</v>
      </c>
      <c r="R9">
        <v>98</v>
      </c>
      <c r="S9">
        <v>89</v>
      </c>
      <c r="T9">
        <v>95</v>
      </c>
      <c r="U9">
        <v>94</v>
      </c>
      <c r="V9">
        <v>96</v>
      </c>
    </row>
    <row r="10" spans="1:24" x14ac:dyDescent="0.25">
      <c r="C10">
        <v>94</v>
      </c>
      <c r="D10">
        <v>88</v>
      </c>
      <c r="E10">
        <v>94</v>
      </c>
      <c r="F10">
        <v>94</v>
      </c>
      <c r="G10">
        <v>90</v>
      </c>
      <c r="H10">
        <v>90</v>
      </c>
      <c r="I10">
        <v>86</v>
      </c>
      <c r="J10">
        <v>94</v>
      </c>
      <c r="K10">
        <v>93</v>
      </c>
      <c r="L10">
        <v>94</v>
      </c>
      <c r="M10">
        <v>96</v>
      </c>
      <c r="N10">
        <v>97</v>
      </c>
      <c r="O10">
        <v>95</v>
      </c>
      <c r="P10">
        <v>107</v>
      </c>
      <c r="Q10">
        <v>89</v>
      </c>
      <c r="R10">
        <v>93</v>
      </c>
      <c r="S10">
        <v>92</v>
      </c>
      <c r="T10">
        <v>92</v>
      </c>
      <c r="U10">
        <v>103</v>
      </c>
      <c r="V10">
        <v>99</v>
      </c>
    </row>
    <row r="11" spans="1:24" x14ac:dyDescent="0.25">
      <c r="C11">
        <v>96</v>
      </c>
      <c r="D11">
        <v>95</v>
      </c>
      <c r="E11">
        <v>88</v>
      </c>
      <c r="F11">
        <v>97</v>
      </c>
      <c r="G11">
        <v>100</v>
      </c>
      <c r="H11">
        <v>88</v>
      </c>
      <c r="I11">
        <v>92</v>
      </c>
      <c r="J11">
        <v>100</v>
      </c>
      <c r="K11">
        <v>87</v>
      </c>
      <c r="L11">
        <v>89</v>
      </c>
      <c r="M11">
        <v>92</v>
      </c>
      <c r="N11">
        <v>92</v>
      </c>
      <c r="O11">
        <v>98</v>
      </c>
      <c r="P11">
        <v>101</v>
      </c>
      <c r="Q11">
        <v>94</v>
      </c>
      <c r="R11">
        <v>84</v>
      </c>
      <c r="S11">
        <v>91</v>
      </c>
      <c r="T11">
        <v>95</v>
      </c>
      <c r="U11">
        <v>88</v>
      </c>
      <c r="V11">
        <v>90</v>
      </c>
    </row>
    <row r="12" spans="1:24" x14ac:dyDescent="0.25">
      <c r="C12">
        <v>97</v>
      </c>
      <c r="D12">
        <v>92</v>
      </c>
      <c r="E12">
        <v>91</v>
      </c>
      <c r="F12">
        <v>91</v>
      </c>
      <c r="G12">
        <v>91</v>
      </c>
      <c r="H12">
        <v>93</v>
      </c>
      <c r="I12">
        <v>90</v>
      </c>
      <c r="J12">
        <v>85</v>
      </c>
      <c r="K12">
        <v>96</v>
      </c>
      <c r="L12">
        <v>98</v>
      </c>
      <c r="M12">
        <v>92</v>
      </c>
      <c r="N12">
        <v>92</v>
      </c>
      <c r="O12">
        <v>91</v>
      </c>
      <c r="P12">
        <v>91</v>
      </c>
      <c r="Q12">
        <v>87</v>
      </c>
      <c r="R12">
        <v>89</v>
      </c>
      <c r="S12">
        <v>91</v>
      </c>
      <c r="T12">
        <v>91</v>
      </c>
      <c r="U12">
        <v>93</v>
      </c>
      <c r="V12">
        <v>98</v>
      </c>
    </row>
    <row r="13" spans="1:24" x14ac:dyDescent="0.25">
      <c r="C13">
        <v>100</v>
      </c>
      <c r="D13">
        <v>91</v>
      </c>
      <c r="E13">
        <v>93</v>
      </c>
      <c r="F13">
        <v>94</v>
      </c>
      <c r="G13">
        <v>105</v>
      </c>
      <c r="H13">
        <v>92</v>
      </c>
      <c r="I13">
        <v>90</v>
      </c>
      <c r="J13">
        <v>94</v>
      </c>
      <c r="K13">
        <v>86</v>
      </c>
      <c r="L13">
        <v>93</v>
      </c>
      <c r="M13">
        <v>92</v>
      </c>
      <c r="N13">
        <v>99</v>
      </c>
      <c r="O13">
        <v>103</v>
      </c>
      <c r="P13">
        <v>94</v>
      </c>
      <c r="Q13">
        <v>92</v>
      </c>
      <c r="R13">
        <v>84</v>
      </c>
      <c r="S13">
        <v>101</v>
      </c>
      <c r="T13">
        <v>96</v>
      </c>
      <c r="U13">
        <v>87</v>
      </c>
      <c r="V13">
        <v>102</v>
      </c>
    </row>
    <row r="14" spans="1:24" x14ac:dyDescent="0.25">
      <c r="C14">
        <v>96</v>
      </c>
      <c r="D14">
        <v>90</v>
      </c>
      <c r="E14">
        <v>99</v>
      </c>
      <c r="F14">
        <v>92</v>
      </c>
      <c r="G14">
        <v>93</v>
      </c>
      <c r="H14">
        <v>100</v>
      </c>
      <c r="I14">
        <v>96</v>
      </c>
      <c r="J14">
        <v>93</v>
      </c>
      <c r="K14">
        <v>92</v>
      </c>
      <c r="L14">
        <v>94</v>
      </c>
      <c r="M14">
        <v>94</v>
      </c>
      <c r="N14">
        <v>100</v>
      </c>
      <c r="O14">
        <v>90</v>
      </c>
      <c r="P14">
        <v>96</v>
      </c>
      <c r="Q14">
        <v>93</v>
      </c>
      <c r="R14">
        <v>90</v>
      </c>
      <c r="S14">
        <v>100</v>
      </c>
      <c r="T14">
        <v>89</v>
      </c>
      <c r="U14">
        <v>90</v>
      </c>
      <c r="V14">
        <v>91</v>
      </c>
    </row>
    <row r="15" spans="1:24" x14ac:dyDescent="0.25">
      <c r="C15">
        <v>85</v>
      </c>
      <c r="D15">
        <v>87</v>
      </c>
      <c r="E15">
        <v>94</v>
      </c>
      <c r="F15">
        <v>97</v>
      </c>
      <c r="G15">
        <v>94</v>
      </c>
      <c r="H15">
        <v>101</v>
      </c>
      <c r="I15">
        <v>85</v>
      </c>
      <c r="J15">
        <v>101</v>
      </c>
      <c r="K15">
        <v>93</v>
      </c>
      <c r="L15">
        <v>93</v>
      </c>
      <c r="M15">
        <v>92</v>
      </c>
      <c r="N15">
        <v>87</v>
      </c>
      <c r="O15">
        <v>95</v>
      </c>
      <c r="P15">
        <v>104</v>
      </c>
      <c r="Q15">
        <v>89</v>
      </c>
      <c r="R15">
        <v>93</v>
      </c>
      <c r="S15">
        <v>90</v>
      </c>
      <c r="T15">
        <v>85</v>
      </c>
      <c r="U15">
        <v>95</v>
      </c>
      <c r="V15">
        <v>100</v>
      </c>
    </row>
    <row r="16" spans="1:24" x14ac:dyDescent="0.25">
      <c r="C16">
        <v>91</v>
      </c>
      <c r="D16">
        <v>97</v>
      </c>
      <c r="E16">
        <v>89</v>
      </c>
      <c r="F16">
        <v>88</v>
      </c>
      <c r="G16">
        <v>92</v>
      </c>
      <c r="H16">
        <v>92</v>
      </c>
      <c r="I16">
        <v>93</v>
      </c>
      <c r="J16">
        <v>95</v>
      </c>
      <c r="K16">
        <v>86</v>
      </c>
      <c r="L16">
        <v>94</v>
      </c>
      <c r="M16">
        <v>92</v>
      </c>
      <c r="N16">
        <v>92</v>
      </c>
      <c r="O16">
        <v>103</v>
      </c>
      <c r="P16">
        <v>97</v>
      </c>
      <c r="Q16">
        <v>87</v>
      </c>
      <c r="R16">
        <v>87</v>
      </c>
      <c r="S16">
        <v>96</v>
      </c>
      <c r="T16">
        <v>85</v>
      </c>
      <c r="U16">
        <v>88</v>
      </c>
      <c r="V16">
        <v>94</v>
      </c>
    </row>
    <row r="17" spans="2:23" x14ac:dyDescent="0.25">
      <c r="C17">
        <v>81</v>
      </c>
      <c r="D17">
        <v>96</v>
      </c>
      <c r="E17">
        <v>89</v>
      </c>
      <c r="F17">
        <v>96</v>
      </c>
      <c r="G17">
        <v>91</v>
      </c>
      <c r="H17">
        <v>90</v>
      </c>
      <c r="I17">
        <v>97</v>
      </c>
      <c r="J17">
        <v>86</v>
      </c>
      <c r="K17">
        <v>92</v>
      </c>
      <c r="L17">
        <v>98</v>
      </c>
      <c r="M17">
        <v>92</v>
      </c>
      <c r="N17">
        <v>99</v>
      </c>
      <c r="O17">
        <v>103</v>
      </c>
      <c r="P17">
        <v>89</v>
      </c>
      <c r="Q17">
        <v>91</v>
      </c>
      <c r="R17">
        <v>90</v>
      </c>
      <c r="S17">
        <v>93</v>
      </c>
      <c r="T17">
        <v>91</v>
      </c>
      <c r="U17">
        <v>92</v>
      </c>
      <c r="V17">
        <v>99</v>
      </c>
    </row>
    <row r="18" spans="2:23" x14ac:dyDescent="0.25">
      <c r="C18">
        <v>92</v>
      </c>
      <c r="D18">
        <v>89</v>
      </c>
      <c r="E18">
        <v>93</v>
      </c>
      <c r="F18">
        <v>89</v>
      </c>
      <c r="G18">
        <v>93</v>
      </c>
      <c r="H18">
        <v>100</v>
      </c>
      <c r="I18">
        <v>97</v>
      </c>
      <c r="J18">
        <v>99</v>
      </c>
      <c r="K18">
        <v>101</v>
      </c>
      <c r="L18">
        <v>86</v>
      </c>
      <c r="M18">
        <v>91</v>
      </c>
      <c r="N18">
        <v>88</v>
      </c>
      <c r="O18">
        <v>96</v>
      </c>
      <c r="P18">
        <v>99</v>
      </c>
      <c r="Q18">
        <v>94</v>
      </c>
      <c r="R18">
        <v>95</v>
      </c>
      <c r="S18">
        <v>87</v>
      </c>
      <c r="T18">
        <v>89</v>
      </c>
      <c r="U18">
        <v>91</v>
      </c>
      <c r="V18">
        <v>96</v>
      </c>
    </row>
    <row r="19" spans="2:23" x14ac:dyDescent="0.25">
      <c r="C19">
        <v>88</v>
      </c>
      <c r="D19">
        <v>94</v>
      </c>
      <c r="E19">
        <v>96</v>
      </c>
      <c r="F19">
        <v>89</v>
      </c>
      <c r="G19">
        <v>89</v>
      </c>
      <c r="H19">
        <v>102</v>
      </c>
      <c r="I19">
        <v>95</v>
      </c>
      <c r="J19">
        <v>95</v>
      </c>
      <c r="K19">
        <v>89</v>
      </c>
      <c r="L19">
        <v>93</v>
      </c>
      <c r="M19">
        <v>94</v>
      </c>
      <c r="N19">
        <v>99</v>
      </c>
      <c r="O19">
        <v>94</v>
      </c>
      <c r="P19">
        <v>95</v>
      </c>
      <c r="Q19">
        <v>90</v>
      </c>
      <c r="R19">
        <v>91</v>
      </c>
      <c r="S19">
        <v>92</v>
      </c>
      <c r="T19">
        <v>101</v>
      </c>
      <c r="U19">
        <v>92</v>
      </c>
      <c r="V19">
        <v>99</v>
      </c>
    </row>
    <row r="20" spans="2:23" x14ac:dyDescent="0.25">
      <c r="C20">
        <v>91</v>
      </c>
      <c r="D20">
        <v>89</v>
      </c>
      <c r="E20">
        <v>97</v>
      </c>
      <c r="F20">
        <v>91</v>
      </c>
      <c r="G20">
        <v>97</v>
      </c>
      <c r="H20">
        <v>94</v>
      </c>
      <c r="I20">
        <v>100</v>
      </c>
      <c r="J20">
        <v>95</v>
      </c>
      <c r="K20">
        <v>88</v>
      </c>
      <c r="L20">
        <v>94</v>
      </c>
      <c r="M20">
        <v>104</v>
      </c>
      <c r="N20">
        <v>99</v>
      </c>
      <c r="O20">
        <v>90</v>
      </c>
      <c r="P20">
        <v>90</v>
      </c>
      <c r="Q20">
        <v>86</v>
      </c>
      <c r="R20">
        <v>84</v>
      </c>
      <c r="S20">
        <v>86</v>
      </c>
      <c r="T20">
        <v>88</v>
      </c>
      <c r="U20">
        <v>89</v>
      </c>
      <c r="V20">
        <v>95</v>
      </c>
    </row>
    <row r="21" spans="2:23" x14ac:dyDescent="0.25">
      <c r="C21">
        <v>98</v>
      </c>
      <c r="D21">
        <v>78</v>
      </c>
      <c r="E21">
        <v>89</v>
      </c>
      <c r="F21">
        <v>93</v>
      </c>
      <c r="G21">
        <v>96</v>
      </c>
      <c r="H21">
        <v>100</v>
      </c>
      <c r="I21">
        <v>92</v>
      </c>
      <c r="J21">
        <v>93</v>
      </c>
      <c r="K21">
        <v>87</v>
      </c>
      <c r="L21">
        <v>87</v>
      </c>
      <c r="M21">
        <v>94</v>
      </c>
      <c r="N21">
        <v>90</v>
      </c>
      <c r="O21">
        <v>90</v>
      </c>
      <c r="P21">
        <v>92</v>
      </c>
      <c r="Q21">
        <v>95</v>
      </c>
      <c r="R21">
        <v>97</v>
      </c>
      <c r="S21">
        <v>93</v>
      </c>
      <c r="T21">
        <v>92</v>
      </c>
      <c r="U21">
        <v>88</v>
      </c>
      <c r="V21">
        <v>88</v>
      </c>
    </row>
    <row r="22" spans="2:23" ht="15.75" thickBot="1" x14ac:dyDescent="0.3">
      <c r="C22">
        <v>96</v>
      </c>
      <c r="D22">
        <v>98</v>
      </c>
      <c r="E22">
        <v>93</v>
      </c>
      <c r="F22">
        <v>89</v>
      </c>
      <c r="G22">
        <v>93</v>
      </c>
      <c r="H22">
        <v>95</v>
      </c>
      <c r="I22">
        <v>92</v>
      </c>
      <c r="J22">
        <v>97</v>
      </c>
      <c r="K22">
        <v>93</v>
      </c>
      <c r="L22">
        <v>89</v>
      </c>
      <c r="M22">
        <v>93</v>
      </c>
      <c r="N22">
        <v>91</v>
      </c>
      <c r="O22">
        <v>93</v>
      </c>
      <c r="P22">
        <v>93</v>
      </c>
      <c r="Q22">
        <v>92</v>
      </c>
      <c r="R22">
        <v>102</v>
      </c>
      <c r="S22">
        <v>98</v>
      </c>
      <c r="T22">
        <v>97</v>
      </c>
      <c r="U22">
        <v>93</v>
      </c>
      <c r="V22">
        <v>89</v>
      </c>
    </row>
    <row r="23" spans="2:23" x14ac:dyDescent="0.25">
      <c r="B23" t="s">
        <v>20</v>
      </c>
      <c r="C23" s="1">
        <f>AVERAGE(C3:C22)</f>
        <v>93.85</v>
      </c>
      <c r="D23" s="1">
        <f t="shared" ref="D23:V23" si="0">AVERAGE(D3:D22)</f>
        <v>91.05</v>
      </c>
      <c r="E23" s="1">
        <f t="shared" si="0"/>
        <v>91.4</v>
      </c>
      <c r="F23" s="1">
        <f t="shared" si="0"/>
        <v>92.05</v>
      </c>
      <c r="G23" s="1">
        <f t="shared" si="0"/>
        <v>93.65</v>
      </c>
      <c r="H23" s="1">
        <f t="shared" si="0"/>
        <v>95</v>
      </c>
      <c r="I23" s="1">
        <f t="shared" si="0"/>
        <v>92.3</v>
      </c>
      <c r="J23" s="1">
        <f t="shared" si="0"/>
        <v>93.65</v>
      </c>
      <c r="K23" s="1">
        <f t="shared" si="0"/>
        <v>91.5</v>
      </c>
      <c r="L23" s="1">
        <f t="shared" si="0"/>
        <v>91.5</v>
      </c>
      <c r="M23" s="1">
        <f t="shared" si="0"/>
        <v>92.55</v>
      </c>
      <c r="N23" s="1">
        <f t="shared" si="0"/>
        <v>94.25</v>
      </c>
      <c r="O23" s="1">
        <f t="shared" si="0"/>
        <v>94.7</v>
      </c>
      <c r="P23" s="1">
        <f t="shared" si="0"/>
        <v>96.05</v>
      </c>
      <c r="Q23" s="1">
        <f t="shared" si="0"/>
        <v>91.7</v>
      </c>
      <c r="R23" s="1">
        <f t="shared" si="0"/>
        <v>92.15</v>
      </c>
      <c r="S23" s="1">
        <f t="shared" si="0"/>
        <v>92.75</v>
      </c>
      <c r="T23" s="1">
        <f t="shared" si="0"/>
        <v>91.75</v>
      </c>
      <c r="U23" s="1">
        <f t="shared" si="0"/>
        <v>91.95</v>
      </c>
      <c r="V23" s="1">
        <f t="shared" si="0"/>
        <v>94.65</v>
      </c>
      <c r="W23" s="9">
        <f>AVERAGE(C23:J23)</f>
        <v>92.868749999999991</v>
      </c>
    </row>
    <row r="24" spans="2:23" x14ac:dyDescent="0.25">
      <c r="B24" t="s">
        <v>21</v>
      </c>
      <c r="C24">
        <f>MIN(C3:C22)</f>
        <v>81</v>
      </c>
      <c r="D24">
        <f t="shared" ref="D24:V24" si="1">MIN(D3:D22)</f>
        <v>78</v>
      </c>
      <c r="E24">
        <f t="shared" si="1"/>
        <v>87</v>
      </c>
      <c r="F24">
        <f t="shared" si="1"/>
        <v>87</v>
      </c>
      <c r="G24">
        <f t="shared" si="1"/>
        <v>88</v>
      </c>
      <c r="H24">
        <f t="shared" si="1"/>
        <v>88</v>
      </c>
      <c r="I24">
        <f t="shared" si="1"/>
        <v>84</v>
      </c>
      <c r="J24">
        <f t="shared" si="1"/>
        <v>85</v>
      </c>
      <c r="K24">
        <f t="shared" si="1"/>
        <v>86</v>
      </c>
      <c r="L24">
        <f t="shared" si="1"/>
        <v>86</v>
      </c>
      <c r="M24">
        <f t="shared" si="1"/>
        <v>86</v>
      </c>
      <c r="N24">
        <f t="shared" si="1"/>
        <v>87</v>
      </c>
      <c r="O24">
        <f t="shared" si="1"/>
        <v>90</v>
      </c>
      <c r="P24">
        <f t="shared" si="1"/>
        <v>89</v>
      </c>
      <c r="Q24">
        <f t="shared" si="1"/>
        <v>86</v>
      </c>
      <c r="R24">
        <f t="shared" si="1"/>
        <v>84</v>
      </c>
      <c r="S24">
        <f t="shared" si="1"/>
        <v>86</v>
      </c>
      <c r="T24">
        <f t="shared" si="1"/>
        <v>85</v>
      </c>
      <c r="U24">
        <f t="shared" si="1"/>
        <v>87</v>
      </c>
      <c r="V24">
        <f t="shared" si="1"/>
        <v>85</v>
      </c>
      <c r="W24" s="10">
        <f>MIN(C24:J24)</f>
        <v>78</v>
      </c>
    </row>
    <row r="25" spans="2:23" ht="15.75" thickBot="1" x14ac:dyDescent="0.3">
      <c r="B25" t="s">
        <v>22</v>
      </c>
      <c r="C25">
        <f>MAX(C3:C22)</f>
        <v>101</v>
      </c>
      <c r="D25">
        <f t="shared" ref="D25:V25" si="2">MAX(D3:D22)</f>
        <v>98</v>
      </c>
      <c r="E25">
        <f t="shared" si="2"/>
        <v>99</v>
      </c>
      <c r="F25">
        <f t="shared" si="2"/>
        <v>97</v>
      </c>
      <c r="G25">
        <f t="shared" si="2"/>
        <v>105</v>
      </c>
      <c r="H25">
        <f t="shared" si="2"/>
        <v>102</v>
      </c>
      <c r="I25">
        <f t="shared" si="2"/>
        <v>100</v>
      </c>
      <c r="J25">
        <f t="shared" si="2"/>
        <v>101</v>
      </c>
      <c r="K25">
        <f t="shared" si="2"/>
        <v>101</v>
      </c>
      <c r="L25">
        <f t="shared" si="2"/>
        <v>98</v>
      </c>
      <c r="M25">
        <f t="shared" si="2"/>
        <v>104</v>
      </c>
      <c r="N25">
        <f t="shared" si="2"/>
        <v>100</v>
      </c>
      <c r="O25">
        <f t="shared" si="2"/>
        <v>103</v>
      </c>
      <c r="P25">
        <f t="shared" si="2"/>
        <v>107</v>
      </c>
      <c r="Q25">
        <f t="shared" si="2"/>
        <v>97</v>
      </c>
      <c r="R25">
        <f t="shared" si="2"/>
        <v>102</v>
      </c>
      <c r="S25">
        <f t="shared" si="2"/>
        <v>101</v>
      </c>
      <c r="T25">
        <f t="shared" si="2"/>
        <v>101</v>
      </c>
      <c r="U25">
        <f t="shared" si="2"/>
        <v>103</v>
      </c>
      <c r="V25">
        <f t="shared" si="2"/>
        <v>102</v>
      </c>
      <c r="W25" s="11">
        <f>MAX(C25:J25)</f>
        <v>105</v>
      </c>
    </row>
  </sheetData>
  <mergeCells count="1">
    <mergeCell ref="A1:E1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4" r:id="rId3" name="Drop Down 2">
              <controlPr defaultSize="0" autoLine="0" autoPict="0">
                <anchor moveWithCells="1">
                  <from>
                    <xdr:col>6</xdr:col>
                    <xdr:colOff>0</xdr:colOff>
                    <xdr:row>0</xdr:row>
                    <xdr:rowOff>19050</xdr:rowOff>
                  </from>
                  <to>
                    <xdr:col>8</xdr:col>
                    <xdr:colOff>19050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15"/>
  <sheetViews>
    <sheetView workbookViewId="0">
      <selection activeCell="D18" sqref="D18"/>
    </sheetView>
  </sheetViews>
  <sheetFormatPr defaultRowHeight="15" x14ac:dyDescent="0.25"/>
  <sheetData>
    <row r="2" spans="2:7" x14ac:dyDescent="0.25">
      <c r="B2" s="131" t="s">
        <v>29</v>
      </c>
    </row>
    <row r="5" spans="2:7" x14ac:dyDescent="0.25">
      <c r="B5" s="131" t="s">
        <v>30</v>
      </c>
    </row>
    <row r="7" spans="2:7" x14ac:dyDescent="0.25">
      <c r="B7" s="131" t="s">
        <v>79</v>
      </c>
    </row>
    <row r="9" spans="2:7" x14ac:dyDescent="0.25">
      <c r="B9" s="131" t="s">
        <v>81</v>
      </c>
    </row>
    <row r="11" spans="2:7" x14ac:dyDescent="0.25">
      <c r="B11" s="131" t="s">
        <v>115</v>
      </c>
      <c r="D11" s="131" t="s">
        <v>116</v>
      </c>
      <c r="G11" s="131" t="s">
        <v>117</v>
      </c>
    </row>
    <row r="13" spans="2:7" x14ac:dyDescent="0.25">
      <c r="B13" s="131" t="s">
        <v>29</v>
      </c>
    </row>
    <row r="15" spans="2:7" x14ac:dyDescent="0.25">
      <c r="B15" s="131" t="s">
        <v>118</v>
      </c>
    </row>
  </sheetData>
  <hyperlinks>
    <hyperlink ref="B2" r:id="rId1"/>
    <hyperlink ref="B5" r:id="rId2"/>
    <hyperlink ref="B7" r:id="rId3"/>
    <hyperlink ref="B9" r:id="rId4"/>
    <hyperlink ref="B11" r:id="rId5"/>
    <hyperlink ref="D11" r:id="rId6"/>
    <hyperlink ref="G11" r:id="rId7"/>
    <hyperlink ref="B13" r:id="rId8"/>
    <hyperlink ref="B15" r:id="rId9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00 Základní Info</vt:lpstr>
      <vt:lpstr>01 Souhrn</vt:lpstr>
      <vt:lpstr>02 MC výsledku</vt:lpstr>
      <vt:lpstr>03 Logika</vt:lpstr>
      <vt:lpstr>04 MC Kumulace nájmu</vt:lpstr>
      <vt:lpstr>05 MC Gener. nájmu</vt:lpstr>
      <vt:lpstr>06 MC Gener. mzdy</vt:lpstr>
      <vt:lpstr>07 Zdroje</vt:lpstr>
      <vt:lpstr>random</vt:lpstr>
      <vt:lpstr>thousand</vt:lpstr>
      <vt:lpstr>Tisic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Thanh Nguyen Van</dc:creator>
  <cp:lastModifiedBy>Thanh Nguyen Van</cp:lastModifiedBy>
  <dcterms:created xsi:type="dcterms:W3CDTF">2018-05-16T18:42:09Z</dcterms:created>
  <dcterms:modified xsi:type="dcterms:W3CDTF">2018-06-10T09:27:02Z</dcterms:modified>
</cp:coreProperties>
</file>